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Desarrollo Costos Generales" sheetId="1" r:id="rId1"/>
    <sheet name="Arranque Ingresos de ventas" sheetId="2" r:id="rId2"/>
    <sheet name="Arranque Inversion Total Proy" sheetId="3" r:id="rId3"/>
    <sheet name="Funcionamiento Punto equilibrio" sheetId="4" r:id="rId4"/>
    <sheet name="Ret de la inversion y ganancia" sheetId="5" r:id="rId5"/>
  </sheets>
  <calcPr calcId="144525"/>
</workbook>
</file>

<file path=xl/calcChain.xml><?xml version="1.0" encoding="utf-8"?>
<calcChain xmlns="http://schemas.openxmlformats.org/spreadsheetml/2006/main">
  <c r="F26" i="5" l="1"/>
  <c r="E26" i="5"/>
  <c r="D26" i="5"/>
  <c r="C26" i="5"/>
  <c r="B26" i="5"/>
  <c r="B10" i="5"/>
  <c r="B16" i="5" s="1"/>
  <c r="B17" i="5" s="1"/>
  <c r="C9" i="5"/>
  <c r="D9" i="5" s="1"/>
  <c r="E9" i="5" s="1"/>
  <c r="F9" i="5" s="1"/>
  <c r="D8" i="5"/>
  <c r="E8" i="5" s="1"/>
  <c r="F8" i="5" s="1"/>
  <c r="C7" i="5"/>
  <c r="D7" i="5" s="1"/>
  <c r="E7" i="5" s="1"/>
  <c r="F7" i="5" s="1"/>
  <c r="C6" i="5"/>
  <c r="D6" i="5" s="1"/>
  <c r="E6" i="5" s="1"/>
  <c r="F6" i="5" s="1"/>
  <c r="D5" i="5"/>
  <c r="E5" i="5" s="1"/>
  <c r="F5" i="5" s="1"/>
  <c r="C4" i="5"/>
  <c r="D4" i="5" s="1"/>
  <c r="E4" i="5" s="1"/>
  <c r="F4" i="5" s="1"/>
  <c r="F10" i="5" l="1"/>
  <c r="F16" i="5" s="1"/>
  <c r="F17" i="5" s="1"/>
  <c r="E10" i="5"/>
  <c r="E16" i="5" s="1"/>
  <c r="E17" i="5" s="1"/>
  <c r="D10" i="5"/>
  <c r="D16" i="5" s="1"/>
  <c r="D17" i="5" s="1"/>
  <c r="C10" i="5"/>
  <c r="C16" i="5" s="1"/>
  <c r="C17" i="5" s="1"/>
  <c r="E7" i="4"/>
  <c r="D14" i="4"/>
  <c r="E14" i="4" s="1"/>
  <c r="F14" i="4" s="1"/>
  <c r="D7" i="4"/>
  <c r="C12" i="4"/>
  <c r="D12" i="4" s="1"/>
  <c r="E12" i="4" s="1"/>
  <c r="F12" i="4" s="1"/>
  <c r="C13" i="4"/>
  <c r="D13" i="4" s="1"/>
  <c r="E13" i="4" s="1"/>
  <c r="F13" i="4" s="1"/>
  <c r="C11" i="4"/>
  <c r="C15" i="4" s="1"/>
  <c r="C8" i="4"/>
  <c r="D8" i="4" s="1"/>
  <c r="B16" i="4"/>
  <c r="B17" i="4" s="1"/>
  <c r="B15" i="4"/>
  <c r="B9" i="4"/>
  <c r="B33" i="3"/>
  <c r="B34" i="3" s="1"/>
  <c r="B24" i="3"/>
  <c r="B25" i="3" s="1"/>
  <c r="B17" i="3"/>
  <c r="B6" i="3"/>
  <c r="B7" i="3" s="1"/>
  <c r="I12" i="1"/>
  <c r="J12" i="1" s="1"/>
  <c r="I11" i="1"/>
  <c r="J11" i="1" s="1"/>
  <c r="E15" i="2"/>
  <c r="E16" i="2"/>
  <c r="E17" i="2"/>
  <c r="E18" i="2"/>
  <c r="E19" i="2"/>
  <c r="E20" i="2"/>
  <c r="E21" i="2"/>
  <c r="E22" i="2"/>
  <c r="E23" i="2"/>
  <c r="F15" i="2"/>
  <c r="G15" i="2" s="1"/>
  <c r="H15" i="2" s="1"/>
  <c r="F16" i="2"/>
  <c r="G16" i="2" s="1"/>
  <c r="H16" i="2" s="1"/>
  <c r="I16" i="2" s="1"/>
  <c r="F17" i="2"/>
  <c r="G17" i="2" s="1"/>
  <c r="H17" i="2" s="1"/>
  <c r="F18" i="2"/>
  <c r="G18" i="2" s="1"/>
  <c r="H18" i="2" s="1"/>
  <c r="I18" i="2" s="1"/>
  <c r="F19" i="2"/>
  <c r="G19" i="2" s="1"/>
  <c r="H19" i="2" s="1"/>
  <c r="F20" i="2"/>
  <c r="G20" i="2" s="1"/>
  <c r="H20" i="2" s="1"/>
  <c r="I20" i="2" s="1"/>
  <c r="F21" i="2"/>
  <c r="G21" i="2" s="1"/>
  <c r="H21" i="2" s="1"/>
  <c r="F22" i="2"/>
  <c r="G22" i="2" s="1"/>
  <c r="H22" i="2" s="1"/>
  <c r="F23" i="2"/>
  <c r="G23" i="2" s="1"/>
  <c r="H23" i="2" s="1"/>
  <c r="I22" i="2" s="1"/>
  <c r="F14" i="2"/>
  <c r="G14" i="2" s="1"/>
  <c r="H14" i="2" s="1"/>
  <c r="I14" i="2" s="1"/>
  <c r="E14" i="2"/>
  <c r="B7" i="2"/>
  <c r="H7" i="1"/>
  <c r="J32" i="1"/>
  <c r="J31" i="1"/>
  <c r="J30" i="1"/>
  <c r="J29" i="1"/>
  <c r="J28" i="1"/>
  <c r="J33" i="1" s="1"/>
  <c r="J23" i="1"/>
  <c r="J22" i="1"/>
  <c r="J21" i="1"/>
  <c r="J20" i="1"/>
  <c r="J18" i="1"/>
  <c r="D46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22" i="1"/>
  <c r="D11" i="1"/>
  <c r="D13" i="1"/>
  <c r="D14" i="1"/>
  <c r="D19" i="1"/>
  <c r="D20" i="1"/>
  <c r="D21" i="1"/>
  <c r="D10" i="1"/>
  <c r="D4" i="1"/>
  <c r="D3" i="1"/>
  <c r="E8" i="4" l="1"/>
  <c r="F8" i="4" s="1"/>
  <c r="D9" i="4"/>
  <c r="E9" i="4"/>
  <c r="F7" i="4"/>
  <c r="F9" i="4" s="1"/>
  <c r="D11" i="4"/>
  <c r="C9" i="4"/>
  <c r="C16" i="4" s="1"/>
  <c r="C17" i="4" s="1"/>
  <c r="B26" i="3"/>
  <c r="B8" i="3"/>
  <c r="J13" i="1"/>
  <c r="J24" i="1"/>
  <c r="D37" i="1"/>
  <c r="D5" i="1"/>
  <c r="D15" i="1"/>
  <c r="D16" i="4" l="1"/>
  <c r="D17" i="4" s="1"/>
  <c r="E11" i="4"/>
  <c r="D15" i="4"/>
  <c r="F11" i="4" l="1"/>
  <c r="F15" i="4" s="1"/>
  <c r="F16" i="4" s="1"/>
  <c r="F17" i="4" s="1"/>
  <c r="E15" i="4"/>
  <c r="E16" i="4" s="1"/>
  <c r="E17" i="4" s="1"/>
</calcChain>
</file>

<file path=xl/sharedStrings.xml><?xml version="1.0" encoding="utf-8"?>
<sst xmlns="http://schemas.openxmlformats.org/spreadsheetml/2006/main" count="215" uniqueCount="155">
  <si>
    <t>Descripción</t>
  </si>
  <si>
    <t>Cantidad</t>
  </si>
  <si>
    <t>Costo Unitario</t>
  </si>
  <si>
    <t>Costo Total</t>
  </si>
  <si>
    <t>Acondicionamiento del local del taller</t>
  </si>
  <si>
    <t>Pintura para local donde estará el taller</t>
  </si>
  <si>
    <t>Total de instalaciones fisicas del negocio</t>
  </si>
  <si>
    <t>Mueble recibidor para recepción de equipos</t>
  </si>
  <si>
    <t>Escritorio de madera</t>
  </si>
  <si>
    <t>Sillas con respaldo movibles (ruedas)</t>
  </si>
  <si>
    <t>Archivero de madera 4 gavetas</t>
  </si>
  <si>
    <t>UPS regulador de voltaje</t>
  </si>
  <si>
    <t xml:space="preserve">Impresora multifuncional </t>
  </si>
  <si>
    <t>Total de equipo y mobiliario del negocio</t>
  </si>
  <si>
    <t>Mesa de operación de equipos</t>
  </si>
  <si>
    <t>Lámpara dirigible para mesa de operación</t>
  </si>
  <si>
    <t>Anaquel de lamina 5 pisos para colocación de equipos reparados</t>
  </si>
  <si>
    <t xml:space="preserve">Kit de Desarmadores </t>
  </si>
  <si>
    <t>Kits de herramienta auxiliar.</t>
  </si>
  <si>
    <t>Computadoras de soporte</t>
  </si>
  <si>
    <t>Kits de pinzas de punta</t>
  </si>
  <si>
    <t>Multímetro</t>
  </si>
  <si>
    <t>Brochas de limpieza diferente tamaño</t>
  </si>
  <si>
    <t>Aspiradoras de mano</t>
  </si>
  <si>
    <t>Cautines de pistola</t>
  </si>
  <si>
    <t>Chupones para soldadura</t>
  </si>
  <si>
    <t>Cables adaptadores universales para discos duros</t>
  </si>
  <si>
    <t>Discos duros externos para respaldos</t>
  </si>
  <si>
    <t xml:space="preserve">Botiquín medico  </t>
  </si>
  <si>
    <t>Papelería y accesorios</t>
  </si>
  <si>
    <t>Tóner impresora</t>
  </si>
  <si>
    <t>Alcohol isopropilico</t>
  </si>
  <si>
    <t>Frasquito limpia todo</t>
  </si>
  <si>
    <t>Soldadura de estaño</t>
  </si>
  <si>
    <t xml:space="preserve">Costo </t>
  </si>
  <si>
    <t>Costo Mensual</t>
  </si>
  <si>
    <t>Servicio</t>
  </si>
  <si>
    <t>Teléfono/Internet</t>
  </si>
  <si>
    <t>Total en servicios</t>
  </si>
  <si>
    <t>*Agua (Bimestral)</t>
  </si>
  <si>
    <t>*Energia eléctrica (Bimestral)</t>
  </si>
  <si>
    <t>Puesto</t>
  </si>
  <si>
    <t>Número de empleados</t>
  </si>
  <si>
    <t>Tecnico</t>
  </si>
  <si>
    <t>Salario</t>
  </si>
  <si>
    <t>Monto mensual</t>
  </si>
  <si>
    <t>Monto total</t>
  </si>
  <si>
    <t>Total en recurso humano</t>
  </si>
  <si>
    <t>Concepto</t>
  </si>
  <si>
    <t>Valor del activo</t>
  </si>
  <si>
    <t>Vida util (años)</t>
  </si>
  <si>
    <t xml:space="preserve">Tasa de depreciación </t>
  </si>
  <si>
    <t xml:space="preserve">OBRAS FISICAS  </t>
  </si>
  <si>
    <t>MOBILIARIO Y EQUIPO</t>
  </si>
  <si>
    <t xml:space="preserve">Impresora multifuncional oficina </t>
  </si>
  <si>
    <t xml:space="preserve">Mobiliario y herramientas de taller </t>
  </si>
  <si>
    <t>Instalaciones físicas taller</t>
  </si>
  <si>
    <t>-</t>
  </si>
  <si>
    <t>Computadoras para área  administrativa taller</t>
  </si>
  <si>
    <t>Mobiliario de taller</t>
  </si>
  <si>
    <t>Equipos de computo taller</t>
  </si>
  <si>
    <t>Total en depreciación</t>
  </si>
  <si>
    <t>Tasa de amotización</t>
  </si>
  <si>
    <t>Valor de depreciacion anual años (1-5)</t>
  </si>
  <si>
    <t>Amortización anual años (1-5)</t>
  </si>
  <si>
    <t>Alta en el SIEM</t>
  </si>
  <si>
    <t>Licencia de uso de suelo.</t>
  </si>
  <si>
    <t>Permiso de anuncio</t>
  </si>
  <si>
    <t xml:space="preserve">Contrato de servicio telefónico e internet </t>
  </si>
  <si>
    <t>Contrato de servicio de electricidad</t>
  </si>
  <si>
    <t>Total en amortización</t>
  </si>
  <si>
    <r>
      <rPr>
        <b/>
        <i/>
        <u/>
        <sz val="11"/>
        <color theme="1"/>
        <rFont val="Calibri"/>
        <family val="2"/>
        <scheme val="minor"/>
      </rPr>
      <t xml:space="preserve">1.1 </t>
    </r>
    <r>
      <rPr>
        <sz val="11"/>
        <color theme="1"/>
        <rFont val="Calibri"/>
        <family val="2"/>
        <scheme val="minor"/>
      </rPr>
      <t>Costos de instalaciones físicas del negocio</t>
    </r>
  </si>
  <si>
    <r>
      <rPr>
        <b/>
        <i/>
        <u/>
        <sz val="11"/>
        <color theme="1"/>
        <rFont val="Calibri"/>
        <family val="2"/>
        <scheme val="minor"/>
      </rPr>
      <t>1.2</t>
    </r>
    <r>
      <rPr>
        <sz val="11"/>
        <color theme="1"/>
        <rFont val="Calibri"/>
        <family val="2"/>
        <scheme val="minor"/>
      </rPr>
      <t xml:space="preserve"> Costos de mobiliario para el taller</t>
    </r>
  </si>
  <si>
    <r>
      <rPr>
        <b/>
        <i/>
        <u/>
        <sz val="11"/>
        <color theme="1"/>
        <rFont val="Calibri"/>
        <family val="2"/>
        <scheme val="minor"/>
      </rPr>
      <t>1.3</t>
    </r>
    <r>
      <rPr>
        <sz val="11"/>
        <color theme="1"/>
        <rFont val="Calibri"/>
        <family val="2"/>
        <scheme val="minor"/>
      </rPr>
      <t xml:space="preserve"> Costos de equipo de trabajo para el taller</t>
    </r>
  </si>
  <si>
    <r>
      <rPr>
        <b/>
        <i/>
        <u/>
        <sz val="11"/>
        <color theme="1"/>
        <rFont val="Calibri"/>
        <family val="2"/>
        <scheme val="minor"/>
      </rPr>
      <t>1.5</t>
    </r>
    <r>
      <rPr>
        <sz val="11"/>
        <color theme="1"/>
        <rFont val="Calibri"/>
        <family val="2"/>
        <scheme val="minor"/>
      </rPr>
      <t xml:space="preserve"> Servicios a utilizar en la empresa</t>
    </r>
  </si>
  <si>
    <r>
      <rPr>
        <b/>
        <i/>
        <u/>
        <sz val="11"/>
        <color theme="1"/>
        <rFont val="Calibri"/>
        <family val="2"/>
        <scheme val="minor"/>
      </rPr>
      <t xml:space="preserve">1.6 </t>
    </r>
    <r>
      <rPr>
        <sz val="11"/>
        <color theme="1"/>
        <rFont val="Calibri"/>
        <family val="2"/>
        <scheme val="minor"/>
      </rPr>
      <t>Sueldo empleados</t>
    </r>
  </si>
  <si>
    <r>
      <rPr>
        <b/>
        <i/>
        <u/>
        <sz val="11"/>
        <color theme="1"/>
        <rFont val="Calibri"/>
        <family val="2"/>
        <scheme val="minor"/>
      </rPr>
      <t>1.7</t>
    </r>
    <r>
      <rPr>
        <sz val="11"/>
        <color theme="1"/>
        <rFont val="Calibri"/>
        <family val="2"/>
        <scheme val="minor"/>
      </rPr>
      <t xml:space="preserve"> Depreciaciones de bienes= Valor Activo / Vida Util</t>
    </r>
  </si>
  <si>
    <r>
      <rPr>
        <b/>
        <i/>
        <u/>
        <sz val="11"/>
        <color theme="1"/>
        <rFont val="Calibri"/>
        <family val="2"/>
        <scheme val="minor"/>
      </rPr>
      <t>1.8</t>
    </r>
    <r>
      <rPr>
        <sz val="11"/>
        <color theme="1"/>
        <rFont val="Calibri"/>
        <family val="2"/>
        <scheme val="minor"/>
      </rPr>
      <t xml:space="preserve"> Amortización = Valor Activo / Vida Util</t>
    </r>
  </si>
  <si>
    <t>Programador Pagado por hora</t>
  </si>
  <si>
    <t>Anual</t>
  </si>
  <si>
    <t>**Hosting pagina web</t>
  </si>
  <si>
    <t>Costo</t>
  </si>
  <si>
    <t>Recuperación de información atrapada o borrada.</t>
  </si>
  <si>
    <t>Daños eléctricos reparables</t>
  </si>
  <si>
    <t>Daños en dispositivos fundamentales de la tarjeta madre (microprocesador, chipset, chip video, BIOS)</t>
  </si>
  <si>
    <t>Virus Informático (Dep. Gravedad)</t>
  </si>
  <si>
    <t>Mantenimiento prev. Y Correct.</t>
  </si>
  <si>
    <t>Total</t>
  </si>
  <si>
    <t>1.9 Promedio general de ingresos por servicios</t>
  </si>
  <si>
    <t>Total promedio ingreso por servicios</t>
  </si>
  <si>
    <t>Mantenimiento Preventivo y Correctivo</t>
  </si>
  <si>
    <t>Reparaciones Generales</t>
  </si>
  <si>
    <t>Capacidad instalada de operación/Semana</t>
  </si>
  <si>
    <t>Año de operación</t>
  </si>
  <si>
    <t>Monto de ingreso por venta de servicio</t>
  </si>
  <si>
    <t>Capacidad instalada Empresa/Semana</t>
  </si>
  <si>
    <t>Servicios esperados al mes</t>
  </si>
  <si>
    <t>Servicios esperados anuales</t>
  </si>
  <si>
    <t>Total ingreso Ventas Esperadas</t>
  </si>
  <si>
    <t>Porcentage de operación empresa</t>
  </si>
  <si>
    <t>Costo Total Mensual</t>
  </si>
  <si>
    <t>Inversión Fija</t>
  </si>
  <si>
    <t>Costos de instalaciones físicas del negocio</t>
  </si>
  <si>
    <t>Costos de mobiliario para el taller</t>
  </si>
  <si>
    <t>Costos de equipo de trabajo para el taller</t>
  </si>
  <si>
    <t>SUBTOTAL</t>
  </si>
  <si>
    <t>Inversión fija total</t>
  </si>
  <si>
    <t>Reserva de aumentos e imprevistos 20%  del SUBTOTAL</t>
  </si>
  <si>
    <t>Inversión Diferida</t>
  </si>
  <si>
    <t>Inversión diferida total</t>
  </si>
  <si>
    <t>Capital de trabajo</t>
  </si>
  <si>
    <r>
      <rPr>
        <b/>
        <i/>
        <u/>
        <sz val="11"/>
        <color theme="1"/>
        <rFont val="Calibri"/>
        <family val="2"/>
        <scheme val="minor"/>
      </rPr>
      <t>1.4</t>
    </r>
    <r>
      <rPr>
        <sz val="11"/>
        <color theme="1"/>
        <rFont val="Calibri"/>
        <family val="2"/>
        <scheme val="minor"/>
      </rPr>
      <t xml:space="preserve"> Costos de materiales de trabajo del taller</t>
    </r>
  </si>
  <si>
    <t>Costos de materiales de trabajo del taller</t>
  </si>
  <si>
    <t>Servicios a utilizar en la empresa</t>
  </si>
  <si>
    <t>Personal Empresa</t>
  </si>
  <si>
    <t>Capital de trabajo total</t>
  </si>
  <si>
    <t>Inversión total de la empresa</t>
  </si>
  <si>
    <t>Capital de trabajo (Mensual)</t>
  </si>
  <si>
    <t>Imprevistos 5%</t>
  </si>
  <si>
    <t>Inversión Total del proyecto</t>
  </si>
  <si>
    <t>Año</t>
  </si>
  <si>
    <t>Ventas</t>
  </si>
  <si>
    <t>Costos Fijos</t>
  </si>
  <si>
    <t>Depreciación</t>
  </si>
  <si>
    <t>Amortización</t>
  </si>
  <si>
    <t>Sueldos de personal</t>
  </si>
  <si>
    <t>Servicio de agua potable</t>
  </si>
  <si>
    <t>Total CF</t>
  </si>
  <si>
    <t>Costos Variables</t>
  </si>
  <si>
    <t>Material de trabajo y consumo</t>
  </si>
  <si>
    <t>Servicio de electricidad</t>
  </si>
  <si>
    <t>Servicio de teléfono e internet</t>
  </si>
  <si>
    <t>Total CV</t>
  </si>
  <si>
    <t>Punto de Equilibrio       (PE)= CF/1-(CV/VT)</t>
  </si>
  <si>
    <t>Hosting</t>
  </si>
  <si>
    <t>% Porcentaje de operación OPTIMO de la empresa =  (PE/VT)X100</t>
  </si>
  <si>
    <t>Egresos de la empresa</t>
  </si>
  <si>
    <t>Costos de producción</t>
  </si>
  <si>
    <t>Material de trabajo y consumo (taller)</t>
  </si>
  <si>
    <t>Sueldos personal</t>
  </si>
  <si>
    <t>Energía eléctrica</t>
  </si>
  <si>
    <t>Servicios   teléfono e internet.</t>
  </si>
  <si>
    <t>Agua Potable</t>
  </si>
  <si>
    <t>Total Anual</t>
  </si>
  <si>
    <t>Ingresos de ventas</t>
  </si>
  <si>
    <t>Egresos (-)</t>
  </si>
  <si>
    <t>Utilidades previas</t>
  </si>
  <si>
    <t>Total utilidades previas</t>
  </si>
  <si>
    <t>Ganancias y periodo de recuperación de la inversión</t>
  </si>
  <si>
    <t>Depreciación (+)</t>
  </si>
  <si>
    <t>Amortización (+)</t>
  </si>
  <si>
    <t>Recuperacion de la inversión $68332</t>
  </si>
  <si>
    <t>Ganancia de $40107</t>
  </si>
  <si>
    <t>Pérdida de $9648, no se recupera la inversión</t>
  </si>
  <si>
    <t>Ganancia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</si>
</sst>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164" formatCode="&quot;$&quot;#,##0.0;[Red]\-&quot;$&quot;#,##0.0"/>
    <numFmt numFmtId="165" formatCode="&quot;$&quot;#,##0.00;[Red]&quot;$&quot;#,##0.00"/>
    <numFmt numFmtId="166" formatCode="#,##0.00;[Red]#,##0.0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8" borderId="0" xfId="0" applyFill="1"/>
    <xf numFmtId="6" fontId="0" fillId="6" borderId="1" xfId="0" applyNumberFormat="1" applyFill="1" applyBorder="1"/>
    <xf numFmtId="6" fontId="0" fillId="0" borderId="1" xfId="0" applyNumberFormat="1" applyBorder="1" applyAlignment="1">
      <alignment horizontal="center" wrapText="1"/>
    </xf>
    <xf numFmtId="6" fontId="0" fillId="6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horizontal="center"/>
    </xf>
    <xf numFmtId="0" fontId="0" fillId="6" borderId="0" xfId="0" applyFill="1" applyBorder="1" applyAlignment="1">
      <alignment horizontal="center"/>
    </xf>
    <xf numFmtId="6" fontId="0" fillId="6" borderId="0" xfId="0" applyNumberFormat="1" applyFill="1" applyBorder="1"/>
    <xf numFmtId="6" fontId="0" fillId="9" borderId="1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8" fontId="0" fillId="0" borderId="0" xfId="0" applyNumberFormat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13" borderId="0" xfId="0" applyFill="1"/>
    <xf numFmtId="0" fontId="0" fillId="2" borderId="0" xfId="0" applyFill="1"/>
    <xf numFmtId="0" fontId="0" fillId="11" borderId="0" xfId="0" applyFill="1"/>
    <xf numFmtId="0" fontId="0" fillId="14" borderId="0" xfId="0" applyFill="1"/>
    <xf numFmtId="8" fontId="0" fillId="15" borderId="0" xfId="0" applyNumberFormat="1" applyFill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6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1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13" borderId="0" xfId="0" applyNumberFormat="1" applyFill="1" applyAlignment="1">
      <alignment horizontal="center"/>
    </xf>
    <xf numFmtId="9" fontId="0" fillId="11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14" borderId="0" xfId="0" applyNumberFormat="1" applyFill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0" fillId="0" borderId="6" xfId="0" applyBorder="1"/>
    <xf numFmtId="6" fontId="0" fillId="0" borderId="0" xfId="0" applyNumberFormat="1"/>
    <xf numFmtId="0" fontId="0" fillId="17" borderId="0" xfId="0" applyFill="1"/>
    <xf numFmtId="0" fontId="0" fillId="18" borderId="0" xfId="0" applyFill="1"/>
    <xf numFmtId="0" fontId="0" fillId="6" borderId="1" xfId="0" applyFill="1" applyBorder="1"/>
    <xf numFmtId="0" fontId="4" fillId="9" borderId="1" xfId="0" applyFont="1" applyFill="1" applyBorder="1"/>
    <xf numFmtId="6" fontId="4" fillId="9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20" borderId="1" xfId="0" applyFill="1" applyBorder="1" applyAlignment="1">
      <alignment horizontal="left"/>
    </xf>
    <xf numFmtId="0" fontId="0" fillId="18" borderId="1" xfId="0" applyFill="1" applyBorder="1" applyAlignment="1">
      <alignment wrapText="1"/>
    </xf>
    <xf numFmtId="0" fontId="0" fillId="18" borderId="1" xfId="0" applyFill="1" applyBorder="1"/>
    <xf numFmtId="0" fontId="0" fillId="18" borderId="1" xfId="0" applyFill="1" applyBorder="1" applyAlignment="1">
      <alignment horizontal="center" wrapText="1"/>
    </xf>
    <xf numFmtId="0" fontId="0" fillId="20" borderId="0" xfId="0" applyFill="1"/>
    <xf numFmtId="0" fontId="0" fillId="21" borderId="1" xfId="0" applyFill="1" applyBorder="1" applyAlignment="1">
      <alignment horizontal="center" wrapText="1"/>
    </xf>
    <xf numFmtId="164" fontId="0" fillId="0" borderId="0" xfId="0" applyNumberFormat="1"/>
    <xf numFmtId="8" fontId="0" fillId="0" borderId="0" xfId="0" applyNumberFormat="1"/>
    <xf numFmtId="6" fontId="0" fillId="9" borderId="0" xfId="0" applyNumberFormat="1" applyFill="1"/>
    <xf numFmtId="8" fontId="0" fillId="9" borderId="0" xfId="0" applyNumberFormat="1" applyFill="1"/>
    <xf numFmtId="164" fontId="0" fillId="9" borderId="0" xfId="0" applyNumberFormat="1" applyFill="1"/>
    <xf numFmtId="0" fontId="0" fillId="5" borderId="1" xfId="0" applyFill="1" applyBorder="1" applyAlignment="1">
      <alignment wrapText="1"/>
    </xf>
    <xf numFmtId="2" fontId="0" fillId="5" borderId="0" xfId="0" applyNumberFormat="1" applyFill="1"/>
    <xf numFmtId="166" fontId="0" fillId="5" borderId="0" xfId="0" applyNumberFormat="1" applyFill="1"/>
    <xf numFmtId="2" fontId="0" fillId="5" borderId="0" xfId="0" applyNumberFormat="1" applyFill="1" applyBorder="1"/>
    <xf numFmtId="167" fontId="0" fillId="21" borderId="0" xfId="0" applyNumberFormat="1" applyFill="1"/>
    <xf numFmtId="165" fontId="0" fillId="21" borderId="0" xfId="0" applyNumberFormat="1" applyFill="1"/>
    <xf numFmtId="8" fontId="0" fillId="21" borderId="0" xfId="0" applyNumberFormat="1" applyFill="1"/>
    <xf numFmtId="6" fontId="0" fillId="0" borderId="1" xfId="0" applyNumberFormat="1" applyBorder="1"/>
    <xf numFmtId="0" fontId="0" fillId="9" borderId="1" xfId="0" applyFill="1" applyBorder="1" applyAlignment="1">
      <alignment wrapText="1"/>
    </xf>
    <xf numFmtId="6" fontId="0" fillId="9" borderId="1" xfId="0" applyNumberFormat="1" applyFill="1" applyBorder="1"/>
    <xf numFmtId="6" fontId="0" fillId="0" borderId="0" xfId="0" applyNumberFormat="1" applyBorder="1"/>
    <xf numFmtId="0" fontId="0" fillId="23" borderId="1" xfId="0" applyFill="1" applyBorder="1"/>
    <xf numFmtId="6" fontId="0" fillId="23" borderId="1" xfId="0" applyNumberFormat="1" applyFill="1" applyBorder="1"/>
    <xf numFmtId="0" fontId="0" fillId="15" borderId="1" xfId="0" applyFill="1" applyBorder="1" applyAlignment="1">
      <alignment horizontal="left"/>
    </xf>
    <xf numFmtId="0" fontId="0" fillId="7" borderId="1" xfId="0" applyFill="1" applyBorder="1"/>
    <xf numFmtId="6" fontId="0" fillId="7" borderId="1" xfId="0" applyNumberFormat="1" applyFill="1" applyBorder="1"/>
    <xf numFmtId="0" fontId="0" fillId="25" borderId="1" xfId="0" applyFill="1" applyBorder="1"/>
    <xf numFmtId="6" fontId="0" fillId="25" borderId="1" xfId="0" applyNumberFormat="1" applyFill="1" applyBorder="1"/>
    <xf numFmtId="0" fontId="0" fillId="25" borderId="0" xfId="0" applyFill="1" applyAlignment="1">
      <alignment horizontal="center" wrapText="1"/>
    </xf>
    <xf numFmtId="0" fontId="0" fillId="26" borderId="1" xfId="0" applyFill="1" applyBorder="1"/>
    <xf numFmtId="6" fontId="0" fillId="26" borderId="1" xfId="0" applyNumberFormat="1" applyFill="1" applyBorder="1"/>
    <xf numFmtId="0" fontId="0" fillId="15" borderId="0" xfId="0" applyFill="1" applyAlignment="1">
      <alignment horizontal="center" wrapText="1"/>
    </xf>
    <xf numFmtId="6" fontId="0" fillId="25" borderId="0" xfId="0" applyNumberFormat="1" applyFill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6" borderId="0" xfId="0" applyFill="1" applyAlignment="1">
      <alignment horizontal="center" wrapText="1"/>
    </xf>
    <xf numFmtId="0" fontId="0" fillId="24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2" borderId="9" xfId="0" applyFill="1" applyBorder="1" applyAlignment="1">
      <alignment horizontal="center" wrapText="1"/>
    </xf>
    <xf numFmtId="0" fontId="0" fillId="22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52</xdr:row>
      <xdr:rowOff>85725</xdr:rowOff>
    </xdr:from>
    <xdr:to>
      <xdr:col>3</xdr:col>
      <xdr:colOff>1162050</xdr:colOff>
      <xdr:row>70</xdr:row>
      <xdr:rowOff>114300</xdr:rowOff>
    </xdr:to>
    <xdr:sp macro="" textlink="">
      <xdr:nvSpPr>
        <xdr:cNvPr id="2" name="1 CuadroTexto"/>
        <xdr:cNvSpPr txBox="1"/>
      </xdr:nvSpPr>
      <xdr:spPr>
        <a:xfrm>
          <a:off x="714375" y="13144500"/>
          <a:ext cx="4448175" cy="345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Hacer un plan de negocios que contemple los siguientes puntos: (por cada punto desglosar todos los costos asociados y capturarlos en una hoja de cálculo)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DESARROLLO: </a:t>
          </a:r>
          <a:r>
            <a:rPr lang="es-MX" sz="1100" b="0" i="0" u="sng">
              <a:solidFill>
                <a:srgbClr val="FF0000"/>
              </a:solidFill>
              <a:latin typeface="+mn-lt"/>
              <a:ea typeface="+mn-ea"/>
              <a:cs typeface="+mn-cs"/>
            </a:rPr>
            <a:t>Instalaciones, Equipo (hardware y software), equipo de trabajo, construcción del sitio.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ARRANQUE: </a:t>
          </a:r>
          <a:r>
            <a:rPr lang="es-MX" sz="1100" b="0" i="0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Gastos de operación y ventas esperadas hasta el punto de lograr reunir </a:t>
          </a:r>
          <a:r>
            <a:rPr lang="es-MX" sz="1100" b="0" i="0">
              <a:solidFill>
                <a:srgbClr val="FF0000"/>
              </a:solidFill>
              <a:latin typeface="+mn-lt"/>
              <a:ea typeface="+mn-ea"/>
              <a:cs typeface="+mn-cs"/>
            </a:rPr>
            <a:t>el dinero de la inversión.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FUNCIONAMIENTO: </a:t>
          </a:r>
          <a:r>
            <a:rPr lang="es-MX" sz="1100" b="0" i="0">
              <a:solidFill>
                <a:srgbClr val="FF0000"/>
              </a:solidFill>
              <a:latin typeface="+mn-lt"/>
              <a:ea typeface="+mn-ea"/>
              <a:cs typeface="+mn-cs"/>
            </a:rPr>
            <a:t>Gastos de operación y ventas esperadas desde el punto de retorno de la inversión hasta un umbral en el futuro (1, 3 y 5 años).</a:t>
          </a:r>
        </a:p>
        <a:p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Subir a su página personal los siguientes puntos: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¿Por qué quieres hacer este proyecto?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¿Cuánto dinero necesitas?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¿En cuánto tiempo recupero mi inversión?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¿Cuánto será mi ganancia?</a:t>
          </a:r>
        </a:p>
        <a:p>
          <a:pPr lvl="1"/>
          <a:r>
            <a:rPr lang="es-MX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Plan de Negocios (el que se hizo anteriormente)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A59" sqref="A59"/>
    </sheetView>
  </sheetViews>
  <sheetFormatPr baseColWidth="10" defaultRowHeight="15" x14ac:dyDescent="0.25"/>
  <cols>
    <col min="1" max="1" width="20.85546875" customWidth="1"/>
    <col min="2" max="2" width="18.7109375" customWidth="1"/>
    <col min="3" max="3" width="20.42578125" customWidth="1"/>
    <col min="4" max="4" width="23.140625" customWidth="1"/>
    <col min="6" max="6" width="32.7109375" customWidth="1"/>
    <col min="7" max="7" width="21.5703125" customWidth="1"/>
    <col min="8" max="9" width="23.42578125" customWidth="1"/>
    <col min="10" max="10" width="22.140625" customWidth="1"/>
  </cols>
  <sheetData>
    <row r="1" spans="1:10" x14ac:dyDescent="0.25">
      <c r="A1" s="107" t="s">
        <v>71</v>
      </c>
      <c r="B1" s="107"/>
      <c r="C1" s="107"/>
      <c r="D1" s="107"/>
      <c r="F1" s="104" t="s">
        <v>74</v>
      </c>
      <c r="G1" s="105"/>
      <c r="H1" s="106"/>
    </row>
    <row r="2" spans="1:10" x14ac:dyDescent="0.25">
      <c r="A2" s="1" t="s">
        <v>0</v>
      </c>
      <c r="B2" s="2" t="s">
        <v>1</v>
      </c>
      <c r="C2" s="10" t="s">
        <v>2</v>
      </c>
      <c r="D2" s="3" t="s">
        <v>3</v>
      </c>
      <c r="F2" s="1" t="s">
        <v>36</v>
      </c>
      <c r="G2" s="10" t="s">
        <v>35</v>
      </c>
      <c r="H2" s="3" t="s">
        <v>3</v>
      </c>
    </row>
    <row r="3" spans="1:10" ht="26.25" x14ac:dyDescent="0.25">
      <c r="A3" s="5" t="s">
        <v>5</v>
      </c>
      <c r="B3" s="7">
        <v>2</v>
      </c>
      <c r="C3" s="8">
        <v>920</v>
      </c>
      <c r="D3" s="8">
        <f>B3*C3</f>
        <v>1840</v>
      </c>
      <c r="F3" s="8" t="s">
        <v>39</v>
      </c>
      <c r="G3" s="8">
        <v>135</v>
      </c>
      <c r="H3" s="8">
        <v>135</v>
      </c>
    </row>
    <row r="4" spans="1:10" ht="26.25" x14ac:dyDescent="0.25">
      <c r="A4" s="4" t="s">
        <v>4</v>
      </c>
      <c r="B4" s="7">
        <v>1</v>
      </c>
      <c r="C4" s="8">
        <v>4000</v>
      </c>
      <c r="D4" s="8">
        <f>B4*C4</f>
        <v>4000</v>
      </c>
      <c r="F4" s="12" t="s">
        <v>40</v>
      </c>
      <c r="G4" s="8">
        <v>240</v>
      </c>
      <c r="H4" s="8">
        <v>240</v>
      </c>
    </row>
    <row r="5" spans="1:10" x14ac:dyDescent="0.25">
      <c r="A5" s="101" t="s">
        <v>6</v>
      </c>
      <c r="B5" s="102"/>
      <c r="C5" s="103"/>
      <c r="D5" s="11">
        <f>D3+D4</f>
        <v>5840</v>
      </c>
      <c r="F5" s="8" t="s">
        <v>37</v>
      </c>
      <c r="G5" s="8">
        <v>389</v>
      </c>
      <c r="H5" s="8">
        <v>389</v>
      </c>
    </row>
    <row r="6" spans="1:10" x14ac:dyDescent="0.25">
      <c r="A6" s="20"/>
      <c r="B6" s="20"/>
      <c r="C6" s="20"/>
      <c r="D6" s="21"/>
      <c r="F6" s="22" t="s">
        <v>80</v>
      </c>
      <c r="G6" s="22" t="s">
        <v>79</v>
      </c>
      <c r="H6" s="22">
        <v>2160</v>
      </c>
    </row>
    <row r="7" spans="1:10" x14ac:dyDescent="0.25">
      <c r="F7" s="101" t="s">
        <v>38</v>
      </c>
      <c r="G7" s="102"/>
      <c r="H7" s="11">
        <f>SUM(H3:H6)</f>
        <v>2924</v>
      </c>
    </row>
    <row r="8" spans="1:10" x14ac:dyDescent="0.25">
      <c r="A8" s="107" t="s">
        <v>72</v>
      </c>
      <c r="B8" s="107"/>
      <c r="C8" s="107"/>
      <c r="D8" s="107"/>
    </row>
    <row r="9" spans="1:10" x14ac:dyDescent="0.25">
      <c r="A9" s="1" t="s">
        <v>0</v>
      </c>
      <c r="B9" s="2" t="s">
        <v>1</v>
      </c>
      <c r="C9" s="10" t="s">
        <v>2</v>
      </c>
      <c r="D9" s="3" t="s">
        <v>3</v>
      </c>
      <c r="F9" s="104" t="s">
        <v>75</v>
      </c>
      <c r="G9" s="105"/>
      <c r="H9" s="105"/>
      <c r="I9" s="105"/>
      <c r="J9" s="106"/>
    </row>
    <row r="10" spans="1:10" ht="26.25" x14ac:dyDescent="0.25">
      <c r="A10" s="6" t="s">
        <v>7</v>
      </c>
      <c r="B10" s="5">
        <v>1</v>
      </c>
      <c r="C10" s="8">
        <v>2290</v>
      </c>
      <c r="D10" s="8">
        <f>B10*C10</f>
        <v>2290</v>
      </c>
      <c r="F10" s="1" t="s">
        <v>41</v>
      </c>
      <c r="G10" s="2" t="s">
        <v>42</v>
      </c>
      <c r="H10" s="10" t="s">
        <v>44</v>
      </c>
      <c r="I10" s="3" t="s">
        <v>45</v>
      </c>
      <c r="J10" s="3" t="s">
        <v>46</v>
      </c>
    </row>
    <row r="11" spans="1:10" x14ac:dyDescent="0.25">
      <c r="A11" s="5" t="s">
        <v>8</v>
      </c>
      <c r="B11" s="5">
        <v>1</v>
      </c>
      <c r="C11" s="8">
        <v>700</v>
      </c>
      <c r="D11" s="8">
        <f t="shared" ref="D11:D14" si="0">B11*C11</f>
        <v>700</v>
      </c>
      <c r="F11" s="12" t="s">
        <v>43</v>
      </c>
      <c r="G11" s="7">
        <v>1</v>
      </c>
      <c r="H11" s="8">
        <v>700</v>
      </c>
      <c r="I11" s="8">
        <f>2*H11</f>
        <v>1400</v>
      </c>
      <c r="J11" s="8">
        <f>G11*I11</f>
        <v>1400</v>
      </c>
    </row>
    <row r="12" spans="1:10" x14ac:dyDescent="0.25">
      <c r="A12" s="5"/>
      <c r="B12" s="5"/>
      <c r="C12" s="8"/>
      <c r="D12" s="8"/>
      <c r="F12" s="12" t="s">
        <v>78</v>
      </c>
      <c r="G12" s="19">
        <v>1</v>
      </c>
      <c r="H12" s="8">
        <v>100</v>
      </c>
      <c r="I12" s="8">
        <f>H12*6*15</f>
        <v>9000</v>
      </c>
      <c r="J12" s="8">
        <f>I12</f>
        <v>9000</v>
      </c>
    </row>
    <row r="13" spans="1:10" ht="26.25" x14ac:dyDescent="0.25">
      <c r="A13" s="5" t="s">
        <v>9</v>
      </c>
      <c r="B13" s="5">
        <v>3</v>
      </c>
      <c r="C13" s="8">
        <v>348</v>
      </c>
      <c r="D13" s="8">
        <f t="shared" si="0"/>
        <v>1044</v>
      </c>
      <c r="F13" s="101" t="s">
        <v>47</v>
      </c>
      <c r="G13" s="102"/>
      <c r="H13" s="102"/>
      <c r="I13" s="103"/>
      <c r="J13" s="13">
        <f>SUM(J11:J12)</f>
        <v>10400</v>
      </c>
    </row>
    <row r="14" spans="1:10" ht="26.25" x14ac:dyDescent="0.25">
      <c r="A14" s="5" t="s">
        <v>10</v>
      </c>
      <c r="B14" s="5">
        <v>1</v>
      </c>
      <c r="C14" s="8">
        <v>1200</v>
      </c>
      <c r="D14" s="8">
        <f t="shared" si="0"/>
        <v>1200</v>
      </c>
    </row>
    <row r="15" spans="1:10" x14ac:dyDescent="0.25">
      <c r="A15" s="101" t="s">
        <v>13</v>
      </c>
      <c r="B15" s="102"/>
      <c r="C15" s="103"/>
      <c r="D15" s="11">
        <f>SUM(D10:D14)</f>
        <v>5234</v>
      </c>
      <c r="F15" s="104" t="s">
        <v>76</v>
      </c>
      <c r="G15" s="105"/>
      <c r="H15" s="105"/>
      <c r="I15" s="105"/>
      <c r="J15" s="106"/>
    </row>
    <row r="16" spans="1:10" ht="30" x14ac:dyDescent="0.25">
      <c r="F16" s="1" t="s">
        <v>48</v>
      </c>
      <c r="G16" s="2" t="s">
        <v>49</v>
      </c>
      <c r="H16" s="10" t="s">
        <v>50</v>
      </c>
      <c r="I16" s="10" t="s">
        <v>51</v>
      </c>
      <c r="J16" s="15" t="s">
        <v>63</v>
      </c>
    </row>
    <row r="17" spans="1:10" x14ac:dyDescent="0.25">
      <c r="A17" s="104" t="s">
        <v>73</v>
      </c>
      <c r="B17" s="105"/>
      <c r="C17" s="105"/>
      <c r="D17" s="106"/>
      <c r="F17" s="16" t="s">
        <v>52</v>
      </c>
      <c r="G17" s="7" t="s">
        <v>57</v>
      </c>
      <c r="H17" s="7" t="s">
        <v>57</v>
      </c>
      <c r="I17" s="7" t="s">
        <v>57</v>
      </c>
      <c r="J17" s="7" t="s">
        <v>57</v>
      </c>
    </row>
    <row r="18" spans="1:10" x14ac:dyDescent="0.25">
      <c r="A18" s="1" t="s">
        <v>0</v>
      </c>
      <c r="B18" s="2" t="s">
        <v>1</v>
      </c>
      <c r="C18" s="10" t="s">
        <v>2</v>
      </c>
      <c r="D18" s="3" t="s">
        <v>3</v>
      </c>
      <c r="F18" s="16" t="s">
        <v>56</v>
      </c>
      <c r="G18" s="8">
        <v>5840</v>
      </c>
      <c r="H18" s="5">
        <v>20</v>
      </c>
      <c r="I18" s="17">
        <v>0.05</v>
      </c>
      <c r="J18" s="8">
        <f>G18/H18</f>
        <v>292</v>
      </c>
    </row>
    <row r="19" spans="1:10" ht="39" x14ac:dyDescent="0.25">
      <c r="A19" s="9" t="s">
        <v>58</v>
      </c>
      <c r="B19" s="5">
        <v>1</v>
      </c>
      <c r="C19" s="8">
        <v>3300</v>
      </c>
      <c r="D19" s="8">
        <f>B19*C19</f>
        <v>3300</v>
      </c>
      <c r="F19" s="16" t="s">
        <v>53</v>
      </c>
      <c r="G19" s="5" t="s">
        <v>57</v>
      </c>
      <c r="H19" s="5" t="s">
        <v>57</v>
      </c>
      <c r="I19" s="17" t="s">
        <v>57</v>
      </c>
      <c r="J19" s="17" t="s">
        <v>57</v>
      </c>
    </row>
    <row r="20" spans="1:10" ht="26.25" x14ac:dyDescent="0.25">
      <c r="A20" s="9" t="s">
        <v>12</v>
      </c>
      <c r="B20" s="5">
        <v>1</v>
      </c>
      <c r="C20" s="8">
        <v>2789</v>
      </c>
      <c r="D20" s="8">
        <f>B20*C20</f>
        <v>2789</v>
      </c>
      <c r="F20" s="16" t="s">
        <v>59</v>
      </c>
      <c r="G20" s="8">
        <v>5234</v>
      </c>
      <c r="H20" s="5">
        <v>10</v>
      </c>
      <c r="I20" s="17">
        <v>0.1</v>
      </c>
      <c r="J20" s="8">
        <f>G20/H20</f>
        <v>523.4</v>
      </c>
    </row>
    <row r="21" spans="1:10" ht="26.25" x14ac:dyDescent="0.25">
      <c r="A21" s="9" t="s">
        <v>11</v>
      </c>
      <c r="B21" s="5">
        <v>3</v>
      </c>
      <c r="C21" s="8">
        <v>1152</v>
      </c>
      <c r="D21" s="8">
        <f>B21*C21</f>
        <v>3456</v>
      </c>
      <c r="F21" s="16" t="s">
        <v>60</v>
      </c>
      <c r="G21" s="8">
        <v>9900</v>
      </c>
      <c r="H21" s="5">
        <v>3</v>
      </c>
      <c r="I21" s="17">
        <v>0.3</v>
      </c>
      <c r="J21" s="8">
        <f>G21/H21</f>
        <v>3300</v>
      </c>
    </row>
    <row r="22" spans="1:10" ht="26.25" x14ac:dyDescent="0.25">
      <c r="A22" s="9" t="s">
        <v>14</v>
      </c>
      <c r="B22" s="5">
        <v>1</v>
      </c>
      <c r="C22" s="8">
        <v>750</v>
      </c>
      <c r="D22" s="8">
        <f>B22*C22</f>
        <v>750</v>
      </c>
      <c r="F22" s="16" t="s">
        <v>54</v>
      </c>
      <c r="G22" s="8">
        <v>2789</v>
      </c>
      <c r="H22" s="5">
        <v>3</v>
      </c>
      <c r="I22" s="17">
        <v>0.3</v>
      </c>
      <c r="J22" s="8">
        <f>G22/H22</f>
        <v>929.66666666666663</v>
      </c>
    </row>
    <row r="23" spans="1:10" ht="26.25" x14ac:dyDescent="0.25">
      <c r="A23" s="9" t="s">
        <v>15</v>
      </c>
      <c r="B23" s="5">
        <v>1</v>
      </c>
      <c r="C23" s="8">
        <v>300</v>
      </c>
      <c r="D23" s="8">
        <f t="shared" ref="D23:D36" si="1">B23*C23</f>
        <v>300</v>
      </c>
      <c r="F23" s="16" t="s">
        <v>55</v>
      </c>
      <c r="G23" s="8">
        <v>14902</v>
      </c>
      <c r="H23" s="5">
        <v>10</v>
      </c>
      <c r="I23" s="17">
        <v>0.35</v>
      </c>
      <c r="J23" s="8">
        <f>G23/H23</f>
        <v>1490.2</v>
      </c>
    </row>
    <row r="24" spans="1:10" ht="39" x14ac:dyDescent="0.25">
      <c r="A24" s="9" t="s">
        <v>16</v>
      </c>
      <c r="B24" s="5">
        <v>2</v>
      </c>
      <c r="C24" s="8">
        <v>395</v>
      </c>
      <c r="D24" s="8">
        <f t="shared" si="1"/>
        <v>790</v>
      </c>
      <c r="F24" s="101" t="s">
        <v>61</v>
      </c>
      <c r="G24" s="102"/>
      <c r="H24" s="102"/>
      <c r="I24" s="103"/>
      <c r="J24" s="11">
        <f>J18+SUM(J20:J23)</f>
        <v>6535.2666666666664</v>
      </c>
    </row>
    <row r="25" spans="1:10" x14ac:dyDescent="0.25">
      <c r="A25" s="9" t="s">
        <v>17</v>
      </c>
      <c r="B25" s="5">
        <v>2</v>
      </c>
      <c r="C25" s="8">
        <v>189</v>
      </c>
      <c r="D25" s="8">
        <f t="shared" si="1"/>
        <v>378</v>
      </c>
    </row>
    <row r="26" spans="1:10" ht="26.25" x14ac:dyDescent="0.25">
      <c r="A26" s="9" t="s">
        <v>18</v>
      </c>
      <c r="B26" s="5">
        <v>2</v>
      </c>
      <c r="C26" s="8">
        <v>1000</v>
      </c>
      <c r="D26" s="8">
        <f t="shared" si="1"/>
        <v>2000</v>
      </c>
      <c r="F26" s="104" t="s">
        <v>77</v>
      </c>
      <c r="G26" s="105"/>
      <c r="H26" s="105"/>
      <c r="I26" s="105"/>
      <c r="J26" s="106"/>
    </row>
    <row r="27" spans="1:10" ht="30" x14ac:dyDescent="0.25">
      <c r="A27" s="9" t="s">
        <v>19</v>
      </c>
      <c r="B27" s="5">
        <v>2</v>
      </c>
      <c r="C27" s="8">
        <v>3300</v>
      </c>
      <c r="D27" s="8">
        <f t="shared" si="1"/>
        <v>6600</v>
      </c>
      <c r="F27" s="1" t="s">
        <v>48</v>
      </c>
      <c r="G27" s="2" t="s">
        <v>49</v>
      </c>
      <c r="H27" s="10" t="s">
        <v>50</v>
      </c>
      <c r="I27" s="10" t="s">
        <v>62</v>
      </c>
      <c r="J27" s="15" t="s">
        <v>64</v>
      </c>
    </row>
    <row r="28" spans="1:10" x14ac:dyDescent="0.25">
      <c r="A28" s="9" t="s">
        <v>20</v>
      </c>
      <c r="B28" s="5">
        <v>2</v>
      </c>
      <c r="C28" s="8">
        <v>250</v>
      </c>
      <c r="D28" s="8">
        <f t="shared" si="1"/>
        <v>500</v>
      </c>
      <c r="F28" s="16" t="s">
        <v>65</v>
      </c>
      <c r="G28" s="8">
        <v>640</v>
      </c>
      <c r="H28" s="5">
        <v>10</v>
      </c>
      <c r="I28" s="17">
        <v>0.1</v>
      </c>
      <c r="J28" s="8">
        <f>G28/H28</f>
        <v>64</v>
      </c>
    </row>
    <row r="29" spans="1:10" x14ac:dyDescent="0.25">
      <c r="A29" s="9" t="s">
        <v>21</v>
      </c>
      <c r="B29" s="5">
        <v>2</v>
      </c>
      <c r="C29" s="8">
        <v>375</v>
      </c>
      <c r="D29" s="8">
        <f t="shared" si="1"/>
        <v>750</v>
      </c>
      <c r="F29" s="16" t="s">
        <v>66</v>
      </c>
      <c r="G29" s="8">
        <v>1059</v>
      </c>
      <c r="H29" s="5">
        <v>10</v>
      </c>
      <c r="I29" s="17">
        <v>0.1</v>
      </c>
      <c r="J29" s="8">
        <f t="shared" ref="J29:J32" si="2">G29/H29</f>
        <v>105.9</v>
      </c>
    </row>
    <row r="30" spans="1:10" ht="26.25" x14ac:dyDescent="0.25">
      <c r="A30" s="9" t="s">
        <v>22</v>
      </c>
      <c r="B30" s="5">
        <v>10</v>
      </c>
      <c r="C30" s="8">
        <v>18</v>
      </c>
      <c r="D30" s="8">
        <f t="shared" si="1"/>
        <v>180</v>
      </c>
      <c r="F30" s="16" t="s">
        <v>67</v>
      </c>
      <c r="G30" s="8">
        <v>56.76</v>
      </c>
      <c r="H30" s="5">
        <v>10</v>
      </c>
      <c r="I30" s="17">
        <v>0.1</v>
      </c>
      <c r="J30" s="8">
        <f t="shared" si="2"/>
        <v>5.6760000000000002</v>
      </c>
    </row>
    <row r="31" spans="1:10" x14ac:dyDescent="0.25">
      <c r="A31" s="9" t="s">
        <v>23</v>
      </c>
      <c r="B31" s="5">
        <v>3</v>
      </c>
      <c r="C31" s="8">
        <v>149</v>
      </c>
      <c r="D31" s="8">
        <f t="shared" si="1"/>
        <v>447</v>
      </c>
      <c r="F31" s="16" t="s">
        <v>69</v>
      </c>
      <c r="G31" s="8">
        <v>1800</v>
      </c>
      <c r="H31" s="5">
        <v>10</v>
      </c>
      <c r="I31" s="17">
        <v>0.1</v>
      </c>
      <c r="J31" s="8">
        <f t="shared" si="2"/>
        <v>180</v>
      </c>
    </row>
    <row r="32" spans="1:10" x14ac:dyDescent="0.25">
      <c r="A32" s="9" t="s">
        <v>24</v>
      </c>
      <c r="B32" s="5">
        <v>3</v>
      </c>
      <c r="C32" s="8">
        <v>325</v>
      </c>
      <c r="D32" s="8">
        <f t="shared" si="1"/>
        <v>975</v>
      </c>
      <c r="F32" s="18" t="s">
        <v>68</v>
      </c>
      <c r="G32" s="8">
        <v>1310</v>
      </c>
      <c r="H32" s="5">
        <v>10</v>
      </c>
      <c r="I32" s="17">
        <v>0.1</v>
      </c>
      <c r="J32" s="8">
        <f t="shared" si="2"/>
        <v>131</v>
      </c>
    </row>
    <row r="33" spans="1:10" ht="26.25" x14ac:dyDescent="0.25">
      <c r="A33" s="9" t="s">
        <v>25</v>
      </c>
      <c r="B33" s="5">
        <v>3</v>
      </c>
      <c r="C33" s="8">
        <v>45</v>
      </c>
      <c r="D33" s="8">
        <f t="shared" si="1"/>
        <v>135</v>
      </c>
      <c r="F33" s="101" t="s">
        <v>70</v>
      </c>
      <c r="G33" s="102"/>
      <c r="H33" s="102"/>
      <c r="I33" s="103"/>
      <c r="J33" s="11">
        <f>SUM(J28:J32)</f>
        <v>486.57600000000002</v>
      </c>
    </row>
    <row r="34" spans="1:10" ht="39" x14ac:dyDescent="0.25">
      <c r="A34" s="9" t="s">
        <v>26</v>
      </c>
      <c r="B34" s="5">
        <v>3</v>
      </c>
      <c r="C34" s="8">
        <v>97</v>
      </c>
      <c r="D34" s="8">
        <f t="shared" si="1"/>
        <v>291</v>
      </c>
    </row>
    <row r="35" spans="1:10" ht="26.25" x14ac:dyDescent="0.25">
      <c r="A35" s="9" t="s">
        <v>27</v>
      </c>
      <c r="B35" s="5">
        <v>2</v>
      </c>
      <c r="C35" s="8">
        <v>1800</v>
      </c>
      <c r="D35" s="8">
        <f t="shared" si="1"/>
        <v>3600</v>
      </c>
    </row>
    <row r="36" spans="1:10" x14ac:dyDescent="0.25">
      <c r="A36" s="9" t="s">
        <v>28</v>
      </c>
      <c r="B36" s="5">
        <v>1</v>
      </c>
      <c r="C36" s="8">
        <v>350</v>
      </c>
      <c r="D36" s="8">
        <f t="shared" si="1"/>
        <v>350</v>
      </c>
    </row>
    <row r="37" spans="1:10" x14ac:dyDescent="0.25">
      <c r="A37" s="101" t="s">
        <v>6</v>
      </c>
      <c r="B37" s="102"/>
      <c r="C37" s="103"/>
      <c r="D37" s="11">
        <f>SUM(D19:D36)</f>
        <v>27591</v>
      </c>
    </row>
    <row r="39" spans="1:10" x14ac:dyDescent="0.25">
      <c r="A39" s="104" t="s">
        <v>111</v>
      </c>
      <c r="B39" s="105"/>
      <c r="C39" s="105"/>
      <c r="D39" s="106"/>
    </row>
    <row r="40" spans="1:10" x14ac:dyDescent="0.25">
      <c r="A40" s="1" t="s">
        <v>0</v>
      </c>
      <c r="B40" s="2" t="s">
        <v>1</v>
      </c>
      <c r="C40" s="10" t="s">
        <v>34</v>
      </c>
      <c r="D40" s="3" t="s">
        <v>100</v>
      </c>
    </row>
    <row r="41" spans="1:10" x14ac:dyDescent="0.25">
      <c r="A41" s="5" t="s">
        <v>29</v>
      </c>
      <c r="B41" s="5"/>
      <c r="C41" s="8">
        <v>100</v>
      </c>
      <c r="D41" s="8">
        <v>100</v>
      </c>
    </row>
    <row r="42" spans="1:10" x14ac:dyDescent="0.25">
      <c r="A42" s="5" t="s">
        <v>30</v>
      </c>
      <c r="B42" s="5">
        <v>1</v>
      </c>
      <c r="C42" s="8">
        <v>114</v>
      </c>
      <c r="D42" s="8">
        <v>114</v>
      </c>
    </row>
    <row r="43" spans="1:10" x14ac:dyDescent="0.25">
      <c r="A43" s="5" t="s">
        <v>31</v>
      </c>
      <c r="B43" s="5">
        <v>1</v>
      </c>
      <c r="C43" s="8">
        <v>64</v>
      </c>
      <c r="D43" s="8">
        <v>64</v>
      </c>
    </row>
    <row r="44" spans="1:10" x14ac:dyDescent="0.25">
      <c r="A44" s="5" t="s">
        <v>32</v>
      </c>
      <c r="B44" s="5">
        <v>1</v>
      </c>
      <c r="C44" s="8">
        <v>25</v>
      </c>
      <c r="D44" s="8">
        <v>25</v>
      </c>
    </row>
    <row r="45" spans="1:10" x14ac:dyDescent="0.25">
      <c r="A45" s="5" t="s">
        <v>33</v>
      </c>
      <c r="B45" s="5">
        <v>1</v>
      </c>
      <c r="C45" s="8">
        <v>35</v>
      </c>
      <c r="D45" s="8">
        <v>35</v>
      </c>
    </row>
    <row r="46" spans="1:10" x14ac:dyDescent="0.25">
      <c r="A46" s="101" t="s">
        <v>6</v>
      </c>
      <c r="B46" s="102"/>
      <c r="C46" s="103"/>
      <c r="D46" s="11">
        <f>SUM(D41:D45)</f>
        <v>338</v>
      </c>
    </row>
  </sheetData>
  <mergeCells count="16">
    <mergeCell ref="F33:I33"/>
    <mergeCell ref="A37:C37"/>
    <mergeCell ref="A39:D39"/>
    <mergeCell ref="A46:C46"/>
    <mergeCell ref="F1:H1"/>
    <mergeCell ref="F7:G7"/>
    <mergeCell ref="F13:I13"/>
    <mergeCell ref="F9:J9"/>
    <mergeCell ref="A1:D1"/>
    <mergeCell ref="A5:C5"/>
    <mergeCell ref="A8:D8"/>
    <mergeCell ref="A15:C15"/>
    <mergeCell ref="A17:D17"/>
    <mergeCell ref="F15:J15"/>
    <mergeCell ref="F24:I24"/>
    <mergeCell ref="F26:J2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C1" workbookViewId="0">
      <selection activeCell="I14" sqref="I14:I15"/>
    </sheetView>
  </sheetViews>
  <sheetFormatPr baseColWidth="10" defaultRowHeight="15" x14ac:dyDescent="0.25"/>
  <cols>
    <col min="1" max="1" width="37.7109375" customWidth="1"/>
    <col min="2" max="3" width="25.42578125" customWidth="1"/>
    <col min="4" max="4" width="26.28515625" customWidth="1"/>
    <col min="5" max="5" width="32.7109375" customWidth="1"/>
    <col min="6" max="6" width="16.85546875" customWidth="1"/>
  </cols>
  <sheetData>
    <row r="1" spans="1:10" x14ac:dyDescent="0.25">
      <c r="A1" s="111" t="s">
        <v>88</v>
      </c>
      <c r="B1" s="111"/>
      <c r="C1" s="33"/>
    </row>
    <row r="2" spans="1:10" x14ac:dyDescent="0.25">
      <c r="A2" s="23" t="s">
        <v>36</v>
      </c>
      <c r="B2" s="26" t="s">
        <v>81</v>
      </c>
      <c r="C2" s="33"/>
    </row>
    <row r="3" spans="1:10" ht="30" x14ac:dyDescent="0.25">
      <c r="A3" s="24" t="s">
        <v>82</v>
      </c>
      <c r="B3" s="34">
        <v>1600</v>
      </c>
      <c r="C3" s="27"/>
    </row>
    <row r="4" spans="1:10" x14ac:dyDescent="0.25">
      <c r="A4" s="24" t="s">
        <v>83</v>
      </c>
      <c r="B4" s="34">
        <v>350</v>
      </c>
      <c r="C4" s="27"/>
    </row>
    <row r="5" spans="1:10" ht="45" x14ac:dyDescent="0.25">
      <c r="A5" s="24" t="s">
        <v>84</v>
      </c>
      <c r="B5" s="34">
        <v>600</v>
      </c>
      <c r="C5" s="27"/>
    </row>
    <row r="6" spans="1:10" x14ac:dyDescent="0.25">
      <c r="A6" s="24" t="s">
        <v>85</v>
      </c>
      <c r="B6" s="34">
        <v>250</v>
      </c>
      <c r="C6" s="27"/>
    </row>
    <row r="7" spans="1:10" x14ac:dyDescent="0.25">
      <c r="A7" s="28" t="s">
        <v>89</v>
      </c>
      <c r="B7" s="35">
        <f>SUM(B3:B6)/4</f>
        <v>700</v>
      </c>
      <c r="C7" s="33"/>
    </row>
    <row r="8" spans="1:10" x14ac:dyDescent="0.25">
      <c r="B8" s="25"/>
      <c r="C8" s="36"/>
    </row>
    <row r="9" spans="1:10" x14ac:dyDescent="0.25">
      <c r="A9" s="23" t="s">
        <v>36</v>
      </c>
      <c r="B9" s="26" t="s">
        <v>81</v>
      </c>
      <c r="C9" s="33"/>
    </row>
    <row r="10" spans="1:10" x14ac:dyDescent="0.25">
      <c r="A10" s="24" t="s">
        <v>86</v>
      </c>
      <c r="B10" s="34">
        <v>235</v>
      </c>
      <c r="C10" s="27"/>
    </row>
    <row r="11" spans="1:10" x14ac:dyDescent="0.25">
      <c r="A11" s="28" t="s">
        <v>87</v>
      </c>
      <c r="B11" s="35">
        <v>235</v>
      </c>
      <c r="C11" s="33"/>
    </row>
    <row r="13" spans="1:10" ht="60" x14ac:dyDescent="0.25">
      <c r="A13" s="37" t="s">
        <v>36</v>
      </c>
      <c r="B13" s="38" t="s">
        <v>95</v>
      </c>
      <c r="C13" s="38" t="s">
        <v>93</v>
      </c>
      <c r="D13" s="39" t="s">
        <v>99</v>
      </c>
      <c r="E13" s="39" t="s">
        <v>92</v>
      </c>
      <c r="F13" s="40" t="s">
        <v>96</v>
      </c>
      <c r="G13" s="39" t="s">
        <v>97</v>
      </c>
      <c r="H13" s="39" t="s">
        <v>94</v>
      </c>
      <c r="I13" s="50" t="s">
        <v>98</v>
      </c>
    </row>
    <row r="14" spans="1:10" x14ac:dyDescent="0.25">
      <c r="A14" s="30" t="s">
        <v>90</v>
      </c>
      <c r="B14" s="14">
        <v>10</v>
      </c>
      <c r="C14" s="112">
        <v>2014</v>
      </c>
      <c r="D14" s="45">
        <v>0.4</v>
      </c>
      <c r="E14" s="14">
        <f>B14*D14</f>
        <v>4</v>
      </c>
      <c r="F14" s="14">
        <f>4*E14</f>
        <v>16</v>
      </c>
      <c r="G14" s="30">
        <f>12*F14</f>
        <v>192</v>
      </c>
      <c r="H14" s="30">
        <f>235*G14</f>
        <v>45120</v>
      </c>
      <c r="I14" s="108">
        <f>SUM(H14:H15)</f>
        <v>112320</v>
      </c>
      <c r="J14" s="51"/>
    </row>
    <row r="15" spans="1:10" x14ac:dyDescent="0.25">
      <c r="A15" s="30" t="s">
        <v>91</v>
      </c>
      <c r="B15" s="14">
        <v>5</v>
      </c>
      <c r="C15" s="112"/>
      <c r="D15" s="45">
        <v>0.4</v>
      </c>
      <c r="E15" s="14">
        <f t="shared" ref="E15:E23" si="0">B15*D15</f>
        <v>2</v>
      </c>
      <c r="F15" s="14">
        <f t="shared" ref="F15:F23" si="1">4*E15</f>
        <v>8</v>
      </c>
      <c r="G15" s="30">
        <f t="shared" ref="G15:G23" si="2">12*F15</f>
        <v>96</v>
      </c>
      <c r="H15" s="30">
        <f>700*G15</f>
        <v>67200</v>
      </c>
      <c r="I15" s="109"/>
      <c r="J15" s="51"/>
    </row>
    <row r="16" spans="1:10" x14ac:dyDescent="0.25">
      <c r="A16" s="29" t="s">
        <v>90</v>
      </c>
      <c r="B16" s="41">
        <v>10</v>
      </c>
      <c r="C16" s="113">
        <v>2015</v>
      </c>
      <c r="D16" s="46">
        <v>0.5</v>
      </c>
      <c r="E16" s="41">
        <f t="shared" si="0"/>
        <v>5</v>
      </c>
      <c r="F16" s="41">
        <f t="shared" si="1"/>
        <v>20</v>
      </c>
      <c r="G16" s="29">
        <f>12*F16</f>
        <v>240</v>
      </c>
      <c r="H16" s="29">
        <f>235*G16</f>
        <v>56400</v>
      </c>
      <c r="I16" s="108">
        <f t="shared" ref="I16" si="3">SUM(H16:H17)</f>
        <v>140400</v>
      </c>
    </row>
    <row r="17" spans="1:9" x14ac:dyDescent="0.25">
      <c r="A17" s="29" t="s">
        <v>91</v>
      </c>
      <c r="B17" s="41">
        <v>5</v>
      </c>
      <c r="C17" s="113"/>
      <c r="D17" s="46">
        <v>0.5</v>
      </c>
      <c r="E17" s="41">
        <f t="shared" si="0"/>
        <v>2.5</v>
      </c>
      <c r="F17" s="41">
        <f t="shared" si="1"/>
        <v>10</v>
      </c>
      <c r="G17" s="29">
        <f t="shared" si="2"/>
        <v>120</v>
      </c>
      <c r="H17" s="29">
        <f>G17*700</f>
        <v>84000</v>
      </c>
      <c r="I17" s="109"/>
    </row>
    <row r="18" spans="1:9" x14ac:dyDescent="0.25">
      <c r="A18" s="31" t="s">
        <v>90</v>
      </c>
      <c r="B18" s="42">
        <v>10</v>
      </c>
      <c r="C18" s="114">
        <v>2016</v>
      </c>
      <c r="D18" s="47">
        <v>0.6</v>
      </c>
      <c r="E18" s="42">
        <f t="shared" si="0"/>
        <v>6</v>
      </c>
      <c r="F18" s="42">
        <f t="shared" si="1"/>
        <v>24</v>
      </c>
      <c r="G18" s="31">
        <f t="shared" si="2"/>
        <v>288</v>
      </c>
      <c r="H18" s="31">
        <f>G18*235</f>
        <v>67680</v>
      </c>
      <c r="I18" s="108">
        <f t="shared" ref="I18" si="4">SUM(H18:H19)</f>
        <v>168480</v>
      </c>
    </row>
    <row r="19" spans="1:9" x14ac:dyDescent="0.25">
      <c r="A19" s="31" t="s">
        <v>91</v>
      </c>
      <c r="B19" s="42">
        <v>5</v>
      </c>
      <c r="C19" s="114"/>
      <c r="D19" s="47">
        <v>0.6</v>
      </c>
      <c r="E19" s="42">
        <f t="shared" si="0"/>
        <v>3</v>
      </c>
      <c r="F19" s="42">
        <f t="shared" si="1"/>
        <v>12</v>
      </c>
      <c r="G19" s="31">
        <f t="shared" si="2"/>
        <v>144</v>
      </c>
      <c r="H19" s="31">
        <f>700*G19</f>
        <v>100800</v>
      </c>
      <c r="I19" s="109"/>
    </row>
    <row r="20" spans="1:9" x14ac:dyDescent="0.25">
      <c r="A20" s="1" t="s">
        <v>90</v>
      </c>
      <c r="B20" s="43">
        <v>10</v>
      </c>
      <c r="C20" s="115">
        <v>2017</v>
      </c>
      <c r="D20" s="48">
        <v>0.7</v>
      </c>
      <c r="E20" s="43">
        <f t="shared" si="0"/>
        <v>7</v>
      </c>
      <c r="F20" s="43">
        <f t="shared" si="1"/>
        <v>28</v>
      </c>
      <c r="G20" s="1">
        <f t="shared" si="2"/>
        <v>336</v>
      </c>
      <c r="H20" s="1">
        <f>235*G20</f>
        <v>78960</v>
      </c>
      <c r="I20" s="108">
        <f t="shared" ref="I20" si="5">SUM(H20:H21)</f>
        <v>196560</v>
      </c>
    </row>
    <row r="21" spans="1:9" x14ac:dyDescent="0.25">
      <c r="A21" s="1" t="s">
        <v>91</v>
      </c>
      <c r="B21" s="43">
        <v>5</v>
      </c>
      <c r="C21" s="115"/>
      <c r="D21" s="48">
        <v>0.7</v>
      </c>
      <c r="E21" s="43">
        <f t="shared" si="0"/>
        <v>3.5</v>
      </c>
      <c r="F21" s="43">
        <f t="shared" si="1"/>
        <v>14</v>
      </c>
      <c r="G21" s="1">
        <f t="shared" si="2"/>
        <v>168</v>
      </c>
      <c r="H21" s="1">
        <f>700*G21</f>
        <v>117600</v>
      </c>
      <c r="I21" s="109"/>
    </row>
    <row r="22" spans="1:9" x14ac:dyDescent="0.25">
      <c r="A22" s="32" t="s">
        <v>90</v>
      </c>
      <c r="B22" s="44">
        <v>10</v>
      </c>
      <c r="C22" s="110">
        <v>2018</v>
      </c>
      <c r="D22" s="49">
        <v>0.8</v>
      </c>
      <c r="E22" s="44">
        <f t="shared" si="0"/>
        <v>8</v>
      </c>
      <c r="F22" s="44">
        <f t="shared" si="1"/>
        <v>32</v>
      </c>
      <c r="G22" s="32">
        <f t="shared" si="2"/>
        <v>384</v>
      </c>
      <c r="H22" s="32">
        <f>235*G22</f>
        <v>90240</v>
      </c>
      <c r="I22" s="108">
        <f t="shared" ref="I22" si="6">SUM(H22:H23)</f>
        <v>224640</v>
      </c>
    </row>
    <row r="23" spans="1:9" x14ac:dyDescent="0.25">
      <c r="A23" s="32" t="s">
        <v>91</v>
      </c>
      <c r="B23" s="44">
        <v>5</v>
      </c>
      <c r="C23" s="110"/>
      <c r="D23" s="49">
        <v>0.8</v>
      </c>
      <c r="E23" s="44">
        <f t="shared" si="0"/>
        <v>4</v>
      </c>
      <c r="F23" s="44">
        <f t="shared" si="1"/>
        <v>16</v>
      </c>
      <c r="G23" s="32">
        <f t="shared" si="2"/>
        <v>192</v>
      </c>
      <c r="H23" s="32">
        <f>700*G23</f>
        <v>134400</v>
      </c>
      <c r="I23" s="109"/>
    </row>
  </sheetData>
  <mergeCells count="11">
    <mergeCell ref="C22:C23"/>
    <mergeCell ref="A1:B1"/>
    <mergeCell ref="C14:C15"/>
    <mergeCell ref="C16:C17"/>
    <mergeCell ref="C18:C19"/>
    <mergeCell ref="C20:C21"/>
    <mergeCell ref="I14:I15"/>
    <mergeCell ref="I16:I17"/>
    <mergeCell ref="I18:I19"/>
    <mergeCell ref="I20:I21"/>
    <mergeCell ref="I22:I23"/>
  </mergeCells>
  <pageMargins left="0.7" right="0.7" top="0.75" bottom="0.75" header="0.3" footer="0.3"/>
  <pageSetup paperSize="9" orientation="portrait" horizontalDpi="200" verticalDpi="200" r:id="rId1"/>
  <ignoredErrors>
    <ignoredError sqref="H15 H20:H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22" workbookViewId="0">
      <selection activeCell="B51" sqref="B51"/>
    </sheetView>
  </sheetViews>
  <sheetFormatPr baseColWidth="10" defaultRowHeight="15" x14ac:dyDescent="0.25"/>
  <cols>
    <col min="1" max="1" width="39.5703125" customWidth="1"/>
    <col min="2" max="2" width="37.5703125" customWidth="1"/>
  </cols>
  <sheetData>
    <row r="1" spans="1:2" x14ac:dyDescent="0.25">
      <c r="A1" s="116" t="s">
        <v>101</v>
      </c>
      <c r="B1" s="116"/>
    </row>
    <row r="2" spans="1:2" x14ac:dyDescent="0.25">
      <c r="A2" s="53" t="s">
        <v>48</v>
      </c>
      <c r="B2" s="3" t="s">
        <v>81</v>
      </c>
    </row>
    <row r="3" spans="1:2" x14ac:dyDescent="0.25">
      <c r="A3" s="16" t="s">
        <v>102</v>
      </c>
      <c r="B3" s="8">
        <v>5840</v>
      </c>
    </row>
    <row r="4" spans="1:2" x14ac:dyDescent="0.25">
      <c r="A4" s="16" t="s">
        <v>103</v>
      </c>
      <c r="B4" s="8">
        <v>5234</v>
      </c>
    </row>
    <row r="5" spans="1:2" x14ac:dyDescent="0.25">
      <c r="A5" s="16" t="s">
        <v>104</v>
      </c>
      <c r="B5" s="8">
        <v>27591</v>
      </c>
    </row>
    <row r="6" spans="1:2" x14ac:dyDescent="0.25">
      <c r="A6" s="16" t="s">
        <v>105</v>
      </c>
      <c r="B6" s="8">
        <f>SUM(B3:B5)</f>
        <v>38665</v>
      </c>
    </row>
    <row r="7" spans="1:2" ht="30" x14ac:dyDescent="0.25">
      <c r="A7" s="24" t="s">
        <v>107</v>
      </c>
      <c r="B7" s="8">
        <f>B6*0.2</f>
        <v>7733</v>
      </c>
    </row>
    <row r="8" spans="1:2" x14ac:dyDescent="0.25">
      <c r="A8" s="55" t="s">
        <v>106</v>
      </c>
      <c r="B8" s="13">
        <f>SUM(B6:B7)</f>
        <v>46398</v>
      </c>
    </row>
    <row r="10" spans="1:2" x14ac:dyDescent="0.25">
      <c r="A10" s="116" t="s">
        <v>108</v>
      </c>
      <c r="B10" s="116"/>
    </row>
    <row r="11" spans="1:2" x14ac:dyDescent="0.25">
      <c r="A11" s="53" t="s">
        <v>48</v>
      </c>
      <c r="B11" s="3" t="s">
        <v>81</v>
      </c>
    </row>
    <row r="12" spans="1:2" x14ac:dyDescent="0.25">
      <c r="A12" s="16" t="s">
        <v>65</v>
      </c>
      <c r="B12" s="8">
        <v>640</v>
      </c>
    </row>
    <row r="13" spans="1:2" x14ac:dyDescent="0.25">
      <c r="A13" s="16" t="s">
        <v>66</v>
      </c>
      <c r="B13" s="8">
        <v>1059</v>
      </c>
    </row>
    <row r="14" spans="1:2" x14ac:dyDescent="0.25">
      <c r="A14" s="16" t="s">
        <v>67</v>
      </c>
      <c r="B14" s="8">
        <v>56.76</v>
      </c>
    </row>
    <row r="15" spans="1:2" x14ac:dyDescent="0.25">
      <c r="A15" s="16" t="s">
        <v>69</v>
      </c>
      <c r="B15" s="8">
        <v>1800</v>
      </c>
    </row>
    <row r="16" spans="1:2" x14ac:dyDescent="0.25">
      <c r="A16" s="18" t="s">
        <v>68</v>
      </c>
      <c r="B16" s="8">
        <v>1310</v>
      </c>
    </row>
    <row r="17" spans="1:2" x14ac:dyDescent="0.25">
      <c r="A17" s="55" t="s">
        <v>109</v>
      </c>
      <c r="B17" s="13">
        <f>SUM(B12:B16)</f>
        <v>4865.76</v>
      </c>
    </row>
    <row r="19" spans="1:2" x14ac:dyDescent="0.25">
      <c r="A19" s="116" t="s">
        <v>110</v>
      </c>
      <c r="B19" s="116"/>
    </row>
    <row r="20" spans="1:2" x14ac:dyDescent="0.25">
      <c r="A20" s="53" t="s">
        <v>48</v>
      </c>
      <c r="B20" s="3" t="s">
        <v>81</v>
      </c>
    </row>
    <row r="21" spans="1:2" x14ac:dyDescent="0.25">
      <c r="A21" s="16" t="s">
        <v>112</v>
      </c>
      <c r="B21" s="8">
        <v>338</v>
      </c>
    </row>
    <row r="22" spans="1:2" x14ac:dyDescent="0.25">
      <c r="A22" s="16" t="s">
        <v>113</v>
      </c>
      <c r="B22" s="8">
        <v>774</v>
      </c>
    </row>
    <row r="23" spans="1:2" x14ac:dyDescent="0.25">
      <c r="A23" s="16" t="s">
        <v>114</v>
      </c>
      <c r="B23" s="8">
        <v>10400</v>
      </c>
    </row>
    <row r="24" spans="1:2" x14ac:dyDescent="0.25">
      <c r="A24" s="16" t="s">
        <v>105</v>
      </c>
      <c r="B24" s="8">
        <f>SUM(B21:B23)</f>
        <v>11512</v>
      </c>
    </row>
    <row r="25" spans="1:2" ht="30" x14ac:dyDescent="0.25">
      <c r="A25" s="24" t="s">
        <v>107</v>
      </c>
      <c r="B25" s="8">
        <f>B24*0.2</f>
        <v>2302.4</v>
      </c>
    </row>
    <row r="26" spans="1:2" x14ac:dyDescent="0.25">
      <c r="A26" s="55" t="s">
        <v>115</v>
      </c>
      <c r="B26" s="13">
        <f>SUM(B24:B25)</f>
        <v>13814.4</v>
      </c>
    </row>
    <row r="28" spans="1:2" x14ac:dyDescent="0.25">
      <c r="A28" s="116" t="s">
        <v>116</v>
      </c>
      <c r="B28" s="116"/>
    </row>
    <row r="29" spans="1:2" x14ac:dyDescent="0.25">
      <c r="A29" s="53" t="s">
        <v>48</v>
      </c>
      <c r="B29" s="3" t="s">
        <v>81</v>
      </c>
    </row>
    <row r="30" spans="1:2" x14ac:dyDescent="0.25">
      <c r="A30" s="16" t="s">
        <v>101</v>
      </c>
      <c r="B30" s="8">
        <v>46398</v>
      </c>
    </row>
    <row r="31" spans="1:2" x14ac:dyDescent="0.25">
      <c r="A31" s="16" t="s">
        <v>108</v>
      </c>
      <c r="B31" s="8">
        <v>4866</v>
      </c>
    </row>
    <row r="32" spans="1:2" x14ac:dyDescent="0.25">
      <c r="A32" s="16" t="s">
        <v>117</v>
      </c>
      <c r="B32" s="8">
        <v>13814</v>
      </c>
    </row>
    <row r="33" spans="1:2" x14ac:dyDescent="0.25">
      <c r="A33" s="16" t="s">
        <v>118</v>
      </c>
      <c r="B33" s="8">
        <f>SUM(B30:B32)*0.05</f>
        <v>3253.9</v>
      </c>
    </row>
    <row r="34" spans="1:2" x14ac:dyDescent="0.25">
      <c r="A34" s="56" t="s">
        <v>119</v>
      </c>
      <c r="B34" s="57">
        <f>SUM(B30:B33)</f>
        <v>68331.899999999994</v>
      </c>
    </row>
  </sheetData>
  <mergeCells count="4">
    <mergeCell ref="A1:B1"/>
    <mergeCell ref="A10:B10"/>
    <mergeCell ref="A19:B19"/>
    <mergeCell ref="A28:B28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5" sqref="A5:F6"/>
    </sheetView>
  </sheetViews>
  <sheetFormatPr baseColWidth="10" defaultRowHeight="15" x14ac:dyDescent="0.25"/>
  <cols>
    <col min="1" max="1" width="25" customWidth="1"/>
    <col min="2" max="2" width="32.5703125" customWidth="1"/>
    <col min="3" max="3" width="27.85546875" customWidth="1"/>
    <col min="4" max="4" width="30.140625" customWidth="1"/>
    <col min="5" max="5" width="31" customWidth="1"/>
    <col min="6" max="6" width="32.85546875" customWidth="1"/>
  </cols>
  <sheetData>
    <row r="1" spans="1:6" x14ac:dyDescent="0.25">
      <c r="A1" s="59" t="s">
        <v>120</v>
      </c>
      <c r="B1" s="60">
        <v>2014</v>
      </c>
      <c r="C1" s="60">
        <v>2015</v>
      </c>
      <c r="D1" s="60">
        <v>2016</v>
      </c>
      <c r="E1" s="60">
        <v>2017</v>
      </c>
      <c r="F1" s="60">
        <v>2018</v>
      </c>
    </row>
    <row r="2" spans="1:6" x14ac:dyDescent="0.25">
      <c r="A2" s="61" t="s">
        <v>48</v>
      </c>
    </row>
    <row r="3" spans="1:6" x14ac:dyDescent="0.25">
      <c r="A3" s="58" t="s">
        <v>121</v>
      </c>
      <c r="B3" s="72">
        <v>112320</v>
      </c>
      <c r="C3" s="72">
        <v>140400</v>
      </c>
      <c r="D3" s="72">
        <v>168480</v>
      </c>
      <c r="E3" s="72">
        <v>196560</v>
      </c>
      <c r="F3" s="72">
        <v>224640</v>
      </c>
    </row>
    <row r="4" spans="1:6" x14ac:dyDescent="0.25">
      <c r="A4" s="62" t="s">
        <v>122</v>
      </c>
      <c r="B4" s="68"/>
      <c r="C4" s="68"/>
      <c r="D4" s="68"/>
      <c r="E4" s="68"/>
      <c r="F4" s="68"/>
    </row>
    <row r="5" spans="1:6" x14ac:dyDescent="0.25">
      <c r="A5" s="64" t="s">
        <v>123</v>
      </c>
      <c r="B5" s="52">
        <v>6535</v>
      </c>
      <c r="C5" s="52">
        <v>6535</v>
      </c>
      <c r="D5" s="52">
        <v>6535</v>
      </c>
      <c r="E5" s="52">
        <v>2305</v>
      </c>
      <c r="F5" s="52">
        <v>2305</v>
      </c>
    </row>
    <row r="6" spans="1:6" x14ac:dyDescent="0.25">
      <c r="A6" s="64" t="s">
        <v>124</v>
      </c>
      <c r="B6" s="52">
        <v>487</v>
      </c>
      <c r="C6" s="52">
        <v>487</v>
      </c>
      <c r="D6" s="52">
        <v>487</v>
      </c>
      <c r="E6" s="52">
        <v>487</v>
      </c>
      <c r="F6" s="52">
        <v>487</v>
      </c>
    </row>
    <row r="7" spans="1:6" x14ac:dyDescent="0.25">
      <c r="A7" s="64" t="s">
        <v>125</v>
      </c>
      <c r="B7" s="52">
        <v>43800</v>
      </c>
      <c r="C7" s="70">
        <v>18480</v>
      </c>
      <c r="D7" s="70">
        <f t="shared" ref="D7:F8" si="0">C7*0.1+C7</f>
        <v>20328</v>
      </c>
      <c r="E7" s="71">
        <f t="shared" si="0"/>
        <v>22360.799999999999</v>
      </c>
      <c r="F7" s="71">
        <f t="shared" si="0"/>
        <v>24596.879999999997</v>
      </c>
    </row>
    <row r="8" spans="1:6" x14ac:dyDescent="0.25">
      <c r="A8" s="64" t="s">
        <v>126</v>
      </c>
      <c r="B8" s="52">
        <v>1620</v>
      </c>
      <c r="C8" s="70">
        <f>B8*0.1+B8</f>
        <v>1782</v>
      </c>
      <c r="D8" s="70">
        <f t="shared" si="0"/>
        <v>1960.2</v>
      </c>
      <c r="E8" s="71">
        <f t="shared" si="0"/>
        <v>2156.2200000000003</v>
      </c>
      <c r="F8" s="71">
        <f t="shared" si="0"/>
        <v>2371.8420000000001</v>
      </c>
    </row>
    <row r="9" spans="1:6" x14ac:dyDescent="0.25">
      <c r="A9" s="62" t="s">
        <v>127</v>
      </c>
      <c r="B9" s="72">
        <f>SUM(B5:B8)</f>
        <v>52442</v>
      </c>
      <c r="C9" s="74">
        <f>SUM(C5:C8)</f>
        <v>27284</v>
      </c>
      <c r="D9" s="72">
        <f>SUM(D5:D8)</f>
        <v>29310.2</v>
      </c>
      <c r="E9" s="72">
        <f>SUM(E5:E8)</f>
        <v>27309.02</v>
      </c>
      <c r="F9" s="72">
        <f>SUM(F5:F8)</f>
        <v>29760.721999999998</v>
      </c>
    </row>
    <row r="10" spans="1:6" x14ac:dyDescent="0.25">
      <c r="A10" s="63" t="s">
        <v>128</v>
      </c>
      <c r="B10" s="54"/>
      <c r="C10" s="54"/>
      <c r="D10" s="54"/>
      <c r="E10" s="54"/>
      <c r="F10" s="54"/>
    </row>
    <row r="11" spans="1:6" ht="30" x14ac:dyDescent="0.25">
      <c r="A11" s="65" t="s">
        <v>129</v>
      </c>
      <c r="B11" s="52">
        <v>4056</v>
      </c>
      <c r="C11" s="71">
        <f>B11*0.1+B11</f>
        <v>4461.6000000000004</v>
      </c>
      <c r="D11" s="71">
        <f>C11*0.1+C11</f>
        <v>4907.76</v>
      </c>
      <c r="E11" s="71">
        <f>D11*0.1+D11</f>
        <v>5398.5360000000001</v>
      </c>
      <c r="F11" s="71">
        <f>E11*0.1+E11</f>
        <v>5938.3896000000004</v>
      </c>
    </row>
    <row r="12" spans="1:6" x14ac:dyDescent="0.25">
      <c r="A12" s="66" t="s">
        <v>130</v>
      </c>
      <c r="B12" s="52">
        <v>2880</v>
      </c>
      <c r="C12" s="71">
        <f t="shared" ref="C12:F13" si="1">B12*0.1+B12</f>
        <v>3168</v>
      </c>
      <c r="D12" s="71">
        <f t="shared" si="1"/>
        <v>3484.8</v>
      </c>
      <c r="E12" s="71">
        <f t="shared" si="1"/>
        <v>3833.28</v>
      </c>
      <c r="F12" s="71">
        <f t="shared" si="1"/>
        <v>4216.6080000000002</v>
      </c>
    </row>
    <row r="13" spans="1:6" ht="30" x14ac:dyDescent="0.25">
      <c r="A13" s="65" t="s">
        <v>131</v>
      </c>
      <c r="B13" s="52">
        <v>4668</v>
      </c>
      <c r="C13" s="71">
        <f t="shared" si="1"/>
        <v>5134.8</v>
      </c>
      <c r="D13" s="71">
        <f t="shared" si="1"/>
        <v>5648.2800000000007</v>
      </c>
      <c r="E13" s="71">
        <f t="shared" si="1"/>
        <v>6213.1080000000011</v>
      </c>
      <c r="F13" s="71">
        <f t="shared" si="1"/>
        <v>6834.4188000000013</v>
      </c>
    </row>
    <row r="14" spans="1:6" x14ac:dyDescent="0.25">
      <c r="A14" s="65" t="s">
        <v>134</v>
      </c>
      <c r="B14" s="52"/>
      <c r="C14" s="71">
        <v>2160</v>
      </c>
      <c r="D14" s="71">
        <f t="shared" ref="D14:F14" si="2">C14*0.1+C14</f>
        <v>2376</v>
      </c>
      <c r="E14" s="71">
        <f t="shared" si="2"/>
        <v>2613.6</v>
      </c>
      <c r="F14" s="71">
        <f t="shared" si="2"/>
        <v>2874.96</v>
      </c>
    </row>
    <row r="15" spans="1:6" x14ac:dyDescent="0.25">
      <c r="A15" s="67" t="s">
        <v>132</v>
      </c>
      <c r="B15" s="72">
        <f>SUM(B11:B13)</f>
        <v>11604</v>
      </c>
      <c r="C15" s="73">
        <f>SUM(C11:C14)</f>
        <v>14924.400000000001</v>
      </c>
      <c r="D15" s="73">
        <f>SUM(D11:D14)</f>
        <v>16416.840000000004</v>
      </c>
      <c r="E15" s="73">
        <f>SUM(E11:E14)</f>
        <v>18058.524000000001</v>
      </c>
      <c r="F15" s="73">
        <f>SUM(F11:F14)</f>
        <v>19864.376400000001</v>
      </c>
    </row>
    <row r="16" spans="1:6" ht="30" x14ac:dyDescent="0.25">
      <c r="A16" s="69" t="s">
        <v>133</v>
      </c>
      <c r="B16" s="79">
        <f>B9/1-(B15/B3)</f>
        <v>52441.89668803419</v>
      </c>
      <c r="C16" s="80">
        <f>C9/1-(C15/C3)</f>
        <v>27283.8937008547</v>
      </c>
      <c r="D16" s="81">
        <f>D9/1-(D15/D3)</f>
        <v>29310.102559116811</v>
      </c>
      <c r="E16" s="81">
        <f>E9/1-(E15/E3)</f>
        <v>27308.928127167277</v>
      </c>
      <c r="F16" s="81">
        <f>F9/1-(F15/F3)</f>
        <v>29760.633572398503</v>
      </c>
    </row>
    <row r="17" spans="1:6" ht="45" x14ac:dyDescent="0.25">
      <c r="A17" s="75" t="s">
        <v>135</v>
      </c>
      <c r="B17" s="76">
        <f>(B16/B3)*100</f>
        <v>46.689722834788277</v>
      </c>
      <c r="C17" s="77">
        <f>(C16/C3)*100</f>
        <v>19.432972721406479</v>
      </c>
      <c r="D17" s="76">
        <f>(D16/D3)*100</f>
        <v>17.396784519893643</v>
      </c>
      <c r="E17" s="76">
        <f>(E16/E3)*100</f>
        <v>13.89343107812743</v>
      </c>
      <c r="F17" s="78">
        <f>(F16/F3)*100</f>
        <v>13.248145286858307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3" workbookViewId="0">
      <selection activeCell="A31" sqref="A31"/>
    </sheetView>
  </sheetViews>
  <sheetFormatPr baseColWidth="10" defaultRowHeight="15" x14ac:dyDescent="0.25"/>
  <cols>
    <col min="1" max="1" width="26" customWidth="1"/>
    <col min="2" max="3" width="20.42578125" customWidth="1"/>
    <col min="4" max="4" width="17.7109375" customWidth="1"/>
    <col min="5" max="5" width="21.42578125" customWidth="1"/>
    <col min="6" max="6" width="21.5703125" customWidth="1"/>
  </cols>
  <sheetData>
    <row r="1" spans="1:6" x14ac:dyDescent="0.25">
      <c r="A1" s="117" t="s">
        <v>136</v>
      </c>
      <c r="B1" s="117"/>
      <c r="C1" s="117"/>
      <c r="D1" s="117"/>
      <c r="E1" s="117"/>
      <c r="F1" s="117"/>
    </row>
    <row r="2" spans="1:6" x14ac:dyDescent="0.25">
      <c r="A2" s="59" t="s">
        <v>120</v>
      </c>
      <c r="B2" s="59">
        <v>2014</v>
      </c>
      <c r="C2" s="59">
        <v>2015</v>
      </c>
      <c r="D2" s="59">
        <v>2016</v>
      </c>
      <c r="E2" s="59">
        <v>2017</v>
      </c>
      <c r="F2" s="59">
        <v>2018</v>
      </c>
    </row>
    <row r="3" spans="1:6" x14ac:dyDescent="0.25">
      <c r="A3" s="118" t="s">
        <v>137</v>
      </c>
      <c r="B3" s="118"/>
      <c r="C3" s="118"/>
      <c r="D3" s="118"/>
      <c r="E3" s="118"/>
      <c r="F3" s="118"/>
    </row>
    <row r="4" spans="1:6" ht="30" x14ac:dyDescent="0.25">
      <c r="A4" s="24" t="s">
        <v>138</v>
      </c>
      <c r="B4" s="82">
        <v>4056</v>
      </c>
      <c r="C4" s="82">
        <f>B4*0.1+B4</f>
        <v>4461.6000000000004</v>
      </c>
      <c r="D4" s="82">
        <f>C4*0.1+C4</f>
        <v>4907.76</v>
      </c>
      <c r="E4" s="82">
        <f>D4*0.1+D4</f>
        <v>5398.5360000000001</v>
      </c>
      <c r="F4" s="82">
        <f>E4*0.1+E4</f>
        <v>5938.3896000000004</v>
      </c>
    </row>
    <row r="5" spans="1:6" x14ac:dyDescent="0.25">
      <c r="A5" s="24" t="s">
        <v>139</v>
      </c>
      <c r="B5" s="82">
        <v>43800</v>
      </c>
      <c r="C5" s="82">
        <v>18480</v>
      </c>
      <c r="D5" s="82">
        <f t="shared" ref="D5:F5" si="0">C5*0.1+C5</f>
        <v>20328</v>
      </c>
      <c r="E5" s="82">
        <f t="shared" si="0"/>
        <v>22360.799999999999</v>
      </c>
      <c r="F5" s="82">
        <f t="shared" si="0"/>
        <v>24596.879999999997</v>
      </c>
    </row>
    <row r="6" spans="1:6" ht="30" x14ac:dyDescent="0.25">
      <c r="A6" s="24" t="s">
        <v>141</v>
      </c>
      <c r="B6" s="82">
        <v>4668</v>
      </c>
      <c r="C6" s="82">
        <f t="shared" ref="C6:F9" si="1">B6*0.1+B6</f>
        <v>5134.8</v>
      </c>
      <c r="D6" s="82">
        <f t="shared" si="1"/>
        <v>5648.2800000000007</v>
      </c>
      <c r="E6" s="82">
        <f t="shared" si="1"/>
        <v>6213.1080000000011</v>
      </c>
      <c r="F6" s="82">
        <f t="shared" si="1"/>
        <v>6834.4188000000013</v>
      </c>
    </row>
    <row r="7" spans="1:6" x14ac:dyDescent="0.25">
      <c r="A7" s="24" t="s">
        <v>140</v>
      </c>
      <c r="B7" s="82">
        <v>2880</v>
      </c>
      <c r="C7" s="82">
        <f t="shared" si="1"/>
        <v>3168</v>
      </c>
      <c r="D7" s="82">
        <f t="shared" si="1"/>
        <v>3484.8</v>
      </c>
      <c r="E7" s="82">
        <f t="shared" si="1"/>
        <v>3833.28</v>
      </c>
      <c r="F7" s="82">
        <f t="shared" si="1"/>
        <v>4216.6080000000002</v>
      </c>
    </row>
    <row r="8" spans="1:6" x14ac:dyDescent="0.25">
      <c r="A8" s="24" t="s">
        <v>134</v>
      </c>
      <c r="B8" s="82"/>
      <c r="C8" s="82">
        <v>2160</v>
      </c>
      <c r="D8" s="82">
        <f t="shared" si="1"/>
        <v>2376</v>
      </c>
      <c r="E8" s="82">
        <f t="shared" si="1"/>
        <v>2613.6</v>
      </c>
      <c r="F8" s="82">
        <f t="shared" si="1"/>
        <v>2874.96</v>
      </c>
    </row>
    <row r="9" spans="1:6" x14ac:dyDescent="0.25">
      <c r="A9" s="24" t="s">
        <v>142</v>
      </c>
      <c r="B9" s="82">
        <v>1620</v>
      </c>
      <c r="C9" s="82">
        <f>B9*0.1+B9</f>
        <v>1782</v>
      </c>
      <c r="D9" s="82">
        <f t="shared" si="1"/>
        <v>1960.2</v>
      </c>
      <c r="E9" s="82">
        <f t="shared" si="1"/>
        <v>2156.2200000000003</v>
      </c>
      <c r="F9" s="82">
        <f t="shared" si="1"/>
        <v>2371.8420000000001</v>
      </c>
    </row>
    <row r="10" spans="1:6" x14ac:dyDescent="0.25">
      <c r="A10" s="83" t="s">
        <v>143</v>
      </c>
      <c r="B10" s="84">
        <f>SUM(B4:B9)</f>
        <v>57024</v>
      </c>
      <c r="C10" s="84">
        <f>SUM(C4:C9)</f>
        <v>35186.399999999994</v>
      </c>
      <c r="D10" s="84">
        <f>SUM(D4:D9)</f>
        <v>38705.040000000001</v>
      </c>
      <c r="E10" s="84">
        <f>SUM(E4:E9)</f>
        <v>42575.544000000002</v>
      </c>
      <c r="F10" s="84">
        <f>SUM(F4:F9)</f>
        <v>46833.098399999995</v>
      </c>
    </row>
    <row r="11" spans="1:6" x14ac:dyDescent="0.25">
      <c r="C11" s="85"/>
    </row>
    <row r="12" spans="1:6" x14ac:dyDescent="0.25">
      <c r="A12" s="119" t="s">
        <v>146</v>
      </c>
      <c r="B12" s="119"/>
      <c r="C12" s="119"/>
      <c r="D12" s="119"/>
      <c r="E12" s="119"/>
      <c r="F12" s="119"/>
    </row>
    <row r="13" spans="1:6" x14ac:dyDescent="0.25">
      <c r="A13" s="59" t="s">
        <v>120</v>
      </c>
      <c r="B13" s="59">
        <v>2014</v>
      </c>
      <c r="C13" s="59">
        <v>2015</v>
      </c>
      <c r="D13" s="59">
        <v>2016</v>
      </c>
      <c r="E13" s="59">
        <v>2017</v>
      </c>
      <c r="F13" s="59">
        <v>2018</v>
      </c>
    </row>
    <row r="14" spans="1:6" x14ac:dyDescent="0.25">
      <c r="A14" s="16" t="s">
        <v>48</v>
      </c>
    </row>
    <row r="15" spans="1:6" x14ac:dyDescent="0.25">
      <c r="A15" s="16" t="s">
        <v>144</v>
      </c>
      <c r="B15" s="84">
        <v>112320</v>
      </c>
      <c r="C15" s="84">
        <v>140400</v>
      </c>
      <c r="D15" s="84">
        <v>168480</v>
      </c>
      <c r="E15" s="84">
        <v>196560</v>
      </c>
      <c r="F15" s="84">
        <v>224640</v>
      </c>
    </row>
    <row r="16" spans="1:6" x14ac:dyDescent="0.25">
      <c r="A16" s="16" t="s">
        <v>145</v>
      </c>
      <c r="B16" s="84">
        <f>SUM(B9:B14)</f>
        <v>60658</v>
      </c>
      <c r="C16" s="84">
        <f>SUM(C9:C14)</f>
        <v>38983.399999999994</v>
      </c>
      <c r="D16" s="84">
        <f>SUM(D9:D14)</f>
        <v>42681.24</v>
      </c>
      <c r="E16" s="84">
        <f>SUM(E9:E14)</f>
        <v>46748.764000000003</v>
      </c>
      <c r="F16" s="84">
        <f>SUM(F9:F14)</f>
        <v>51222.940399999992</v>
      </c>
    </row>
    <row r="17" spans="1:6" x14ac:dyDescent="0.25">
      <c r="A17" s="86" t="s">
        <v>147</v>
      </c>
      <c r="B17" s="87">
        <f>B15-B16</f>
        <v>51662</v>
      </c>
      <c r="C17" s="87">
        <f>C15-C16</f>
        <v>101416.6</v>
      </c>
      <c r="D17" s="87">
        <f>D15-D16</f>
        <v>125798.76000000001</v>
      </c>
      <c r="E17" s="87">
        <f>E15-E16</f>
        <v>149811.236</v>
      </c>
      <c r="F17" s="87">
        <f>F15-F16</f>
        <v>173417.05960000001</v>
      </c>
    </row>
    <row r="20" spans="1:6" x14ac:dyDescent="0.25">
      <c r="A20" s="119" t="s">
        <v>148</v>
      </c>
      <c r="B20" s="119"/>
      <c r="C20" s="119"/>
      <c r="D20" s="119"/>
      <c r="E20" s="119"/>
      <c r="F20" s="119"/>
    </row>
    <row r="21" spans="1:6" x14ac:dyDescent="0.25">
      <c r="A21" s="59" t="s">
        <v>120</v>
      </c>
      <c r="B21" s="100">
        <v>2014</v>
      </c>
      <c r="C21" s="98">
        <v>2015</v>
      </c>
      <c r="D21" s="59">
        <v>2016</v>
      </c>
      <c r="E21" s="59">
        <v>2017</v>
      </c>
      <c r="F21" s="59">
        <v>2018</v>
      </c>
    </row>
    <row r="22" spans="1:6" x14ac:dyDescent="0.25">
      <c r="A22" s="16" t="s">
        <v>48</v>
      </c>
      <c r="B22" s="94"/>
      <c r="C22" s="91"/>
      <c r="D22" s="16"/>
      <c r="E22" s="16"/>
      <c r="F22" s="16"/>
    </row>
    <row r="23" spans="1:6" x14ac:dyDescent="0.25">
      <c r="A23" s="16" t="s">
        <v>146</v>
      </c>
      <c r="B23" s="95">
        <v>51662</v>
      </c>
      <c r="C23" s="92">
        <v>101417</v>
      </c>
      <c r="D23" s="82">
        <v>125799</v>
      </c>
      <c r="E23" s="82">
        <v>149811</v>
      </c>
      <c r="F23" s="82">
        <v>173417</v>
      </c>
    </row>
    <row r="24" spans="1:6" x14ac:dyDescent="0.25">
      <c r="A24" s="88" t="s">
        <v>149</v>
      </c>
      <c r="B24" s="95">
        <v>6535</v>
      </c>
      <c r="C24" s="92">
        <v>6535</v>
      </c>
      <c r="D24" s="82">
        <v>6535</v>
      </c>
      <c r="E24" s="82">
        <v>2305</v>
      </c>
      <c r="F24" s="82">
        <v>2305</v>
      </c>
    </row>
    <row r="25" spans="1:6" x14ac:dyDescent="0.25">
      <c r="A25" s="88" t="s">
        <v>150</v>
      </c>
      <c r="B25" s="95">
        <v>487</v>
      </c>
      <c r="C25" s="92">
        <v>487</v>
      </c>
      <c r="D25" s="82">
        <v>487</v>
      </c>
      <c r="E25" s="82">
        <v>487</v>
      </c>
      <c r="F25" s="82">
        <v>487</v>
      </c>
    </row>
    <row r="26" spans="1:6" x14ac:dyDescent="0.25">
      <c r="A26" s="89" t="s">
        <v>154</v>
      </c>
      <c r="B26" s="95">
        <f>SUM(B23:B25)</f>
        <v>58684</v>
      </c>
      <c r="C26" s="92">
        <f>SUM(C23:C25)</f>
        <v>108439</v>
      </c>
      <c r="D26" s="90">
        <f>SUM(D23:D25)</f>
        <v>132821</v>
      </c>
      <c r="E26" s="90">
        <f>SUM(E23:E25)</f>
        <v>152603</v>
      </c>
      <c r="F26" s="90">
        <f>SUM(F23:F25)</f>
        <v>176209</v>
      </c>
    </row>
    <row r="27" spans="1:6" ht="45" x14ac:dyDescent="0.25">
      <c r="B27" s="99" t="s">
        <v>153</v>
      </c>
      <c r="C27" s="93" t="s">
        <v>151</v>
      </c>
    </row>
    <row r="28" spans="1:6" x14ac:dyDescent="0.25">
      <c r="B28" s="96"/>
      <c r="C28" s="97" t="s">
        <v>152</v>
      </c>
    </row>
  </sheetData>
  <mergeCells count="4">
    <mergeCell ref="A1:F1"/>
    <mergeCell ref="A3:F3"/>
    <mergeCell ref="A12:F12"/>
    <mergeCell ref="A20:F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Costos Generales</vt:lpstr>
      <vt:lpstr>Arranque Ingresos de ventas</vt:lpstr>
      <vt:lpstr>Arranque Inversion Total Proy</vt:lpstr>
      <vt:lpstr>Funcionamiento Punto equilibrio</vt:lpstr>
      <vt:lpstr>Ret de la inversion y ganancia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2013-10-06T05:32:03Z</dcterms:modified>
</cp:coreProperties>
</file>